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95" yWindow="65461" windowWidth="8985" windowHeight="8085" tabRatio="881" firstSheet="1" activeTab="2"/>
  </bookViews>
  <sheets>
    <sheet name="sua  mau an tuyen khong ro 9" sheetId="1" state="hidden" r:id="rId1"/>
    <sheet name="Tiền theo CHV Mẫu 07" sheetId="2" r:id="rId2"/>
    <sheet name="Việc theo CHV Mẫu 06" sheetId="3" r:id="rId3"/>
  </sheets>
  <definedNames>
    <definedName name="_xlnm.Print_Titles" localSheetId="1">'Tiền theo CHV Mẫu 07'!$6:$10</definedName>
    <definedName name="_xlnm.Print_Titles" localSheetId="2">'Việc theo CHV Mẫu 06'!$6:$10</definedName>
  </definedNames>
  <calcPr fullCalcOnLoad="1"/>
</workbook>
</file>

<file path=xl/sharedStrings.xml><?xml version="1.0" encoding="utf-8"?>
<sst xmlns="http://schemas.openxmlformats.org/spreadsheetml/2006/main" count="460" uniqueCount="239">
  <si>
    <t>I</t>
  </si>
  <si>
    <t>II</t>
  </si>
  <si>
    <t>Số việc</t>
  </si>
  <si>
    <t>NGƯỜI LẬP BIỂU</t>
  </si>
  <si>
    <t>A</t>
  </si>
  <si>
    <t>Chia ra:</t>
  </si>
  <si>
    <t>Đơn vị tính: Việc</t>
  </si>
  <si>
    <t>Số tiền</t>
  </si>
  <si>
    <t xml:space="preserve">Cục Thi hành án </t>
  </si>
  <si>
    <t>Các Chi cục Thi hành án</t>
  </si>
  <si>
    <t>Chi cục Thi hành án…</t>
  </si>
  <si>
    <t>Các Chi cục THADS</t>
  </si>
  <si>
    <t>…</t>
  </si>
  <si>
    <t xml:space="preserve">                  ……………., ngày…… tháng….... năm ………</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</si>
  <si>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</si>
  <si>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</si>
  <si>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</si>
  <si>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</si>
  <si>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Tổng số</t>
  </si>
  <si>
    <t>Tổng số</t>
  </si>
  <si>
    <t>Tổng số</t>
  </si>
  <si>
    <t xml:space="preserve">CHIA THEO CƠ QUAN THI HÀNH ÁN VÀ CHẤP HÀNH VIÊN </t>
  </si>
  <si>
    <t xml:space="preserve">         CỤC TRƯỞNG (CHI CỤC TRƯỞNG)</t>
  </si>
  <si>
    <t>Ghi chú:</t>
  </si>
  <si>
    <t xml:space="preserve">Ghi chú:  </t>
  </si>
  <si>
    <t xml:space="preserve">Tổng số
</t>
  </si>
  <si>
    <t>1</t>
  </si>
  <si>
    <t>2</t>
  </si>
  <si>
    <t>1.1</t>
  </si>
  <si>
    <t>1.2</t>
  </si>
  <si>
    <t>2.1</t>
  </si>
  <si>
    <t>2.2</t>
  </si>
  <si>
    <t>3</t>
  </si>
  <si>
    <t xml:space="preserve"> - Biểu mẫu này dùng cho Cục Thi hành án dân sự và Chi cục Thi hành án dân sự;</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</si>
  <si>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</si>
  <si>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</si>
  <si>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</si>
  <si>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</si>
  <si>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</si>
  <si>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</si>
  <si>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</si>
  <si>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</si>
  <si>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7</t>
  </si>
  <si>
    <t>8</t>
  </si>
  <si>
    <t>9</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</si>
  <si>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</si>
  <si>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</si>
  <si>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</si>
  <si>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</si>
  <si>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</si>
  <si>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</si>
  <si>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</si>
  <si>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</si>
  <si>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</si>
  <si>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</si>
  <si>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</si>
  <si>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</si>
  <si>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</si>
  <si>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10</t>
  </si>
  <si>
    <t>12</t>
  </si>
  <si>
    <t>13</t>
  </si>
  <si>
    <t>Ủy thác thi hành án</t>
  </si>
  <si>
    <t>Tổng số phải thi hành</t>
  </si>
  <si>
    <t>Có điều kiện thi hành</t>
  </si>
  <si>
    <t>1.3</t>
  </si>
  <si>
    <t>Đang thi hành</t>
  </si>
  <si>
    <t>1.4</t>
  </si>
  <si>
    <t>1.5</t>
  </si>
  <si>
    <t>Tạm đình chỉ thi hành án</t>
  </si>
  <si>
    <t>1.6</t>
  </si>
  <si>
    <t>1.7</t>
  </si>
  <si>
    <t>Trường hợp khác</t>
  </si>
  <si>
    <t>3.1</t>
  </si>
  <si>
    <t>3.2</t>
  </si>
  <si>
    <t>3.3</t>
  </si>
  <si>
    <t>4.1</t>
  </si>
  <si>
    <t>4.2</t>
  </si>
  <si>
    <t>4.3</t>
  </si>
  <si>
    <t>4.4</t>
  </si>
  <si>
    <t>5.1</t>
  </si>
  <si>
    <t>5.2</t>
  </si>
  <si>
    <t>5.3</t>
  </si>
  <si>
    <t>Giảm thi hành án</t>
  </si>
  <si>
    <t>Tổng số thụ lý</t>
  </si>
  <si>
    <t>Cục THADS  rút lên thi hành</t>
  </si>
  <si>
    <r>
      <t xml:space="preserve">
Tổng số </t>
    </r>
    <r>
      <rPr>
        <sz val="8"/>
        <rFont val="Times New Roman"/>
        <family val="1"/>
      </rPr>
      <t>chuyển</t>
    </r>
    <r>
      <rPr>
        <sz val="9"/>
        <rFont val="Times New Roman"/>
        <family val="1"/>
      </rPr>
      <t xml:space="preserve">
kỳ sau</t>
    </r>
  </si>
  <si>
    <t>Tỷ lệ: 
( %) (xong  + đình chỉ)/ Có điều kiện * 100%</t>
  </si>
  <si>
    <t>Chưa có điều
 kiện hành</t>
  </si>
  <si>
    <t>Năm trước
chuyển sang</t>
  </si>
  <si>
    <t xml:space="preserve">Mới
thụ lý
</t>
  </si>
  <si>
    <t>Thi hành
xong</t>
  </si>
  <si>
    <t>Đình chỉ
thi hành án</t>
  </si>
  <si>
    <t>Hoãn
thi hành án</t>
  </si>
  <si>
    <r>
      <t xml:space="preserve">Tạm dừng THA để </t>
    </r>
    <r>
      <rPr>
        <sz val="8"/>
        <rFont val="Times New Roman"/>
        <family val="1"/>
      </rPr>
      <t>GQKN</t>
    </r>
  </si>
  <si>
    <r>
      <rPr>
        <sz val="8"/>
        <rFont val="Times New Roman"/>
        <family val="1"/>
      </rPr>
      <t xml:space="preserve">Trường </t>
    </r>
    <r>
      <rPr>
        <sz val="9"/>
        <rFont val="Times New Roman"/>
        <family val="1"/>
      </rPr>
      <t>hợp khác</t>
    </r>
  </si>
  <si>
    <t xml:space="preserve">Cục Thi hành án DS </t>
  </si>
  <si>
    <t>Ban hành theo TT số: 08/2015/TT-BTP</t>
  </si>
  <si>
    <t>ngày 26 tháng 6 năm 2015</t>
  </si>
  <si>
    <t>Trần Việt Hồng</t>
  </si>
  <si>
    <t>Nhan Quốc Hải</t>
  </si>
  <si>
    <t xml:space="preserve">    PHÓ CỤC TRƯỞNG </t>
  </si>
  <si>
    <t xml:space="preserve"> KT. CỤC TRƯỞNG </t>
  </si>
  <si>
    <t>Võ Quang Vinh</t>
  </si>
  <si>
    <t>9.4</t>
  </si>
  <si>
    <t>Dương Trung Tực</t>
  </si>
  <si>
    <t>9.3</t>
  </si>
  <si>
    <t>Phan Văn Vũ</t>
  </si>
  <si>
    <t>9.2</t>
  </si>
  <si>
    <t>Ông Văn Lời</t>
  </si>
  <si>
    <t>9.1</t>
  </si>
  <si>
    <t>Huyện Trà Cú</t>
  </si>
  <si>
    <t>Hà T Thanh Loan</t>
  </si>
  <si>
    <t>8.5</t>
  </si>
  <si>
    <t>Nguyễn Văn Liệt</t>
  </si>
  <si>
    <t>8.4</t>
  </si>
  <si>
    <t xml:space="preserve"> Huỳnh Thanh Hải</t>
  </si>
  <si>
    <t>8.3</t>
  </si>
  <si>
    <t>8.2</t>
  </si>
  <si>
    <t xml:space="preserve"> Lê Văn Chào</t>
  </si>
  <si>
    <t>8.1</t>
  </si>
  <si>
    <t>Huyện Cầu Kè</t>
  </si>
  <si>
    <t>Huỳnh Long Thắng</t>
  </si>
  <si>
    <t>7.5</t>
  </si>
  <si>
    <t>Huỳnh Chung Phương</t>
  </si>
  <si>
    <t>7.4</t>
  </si>
  <si>
    <t>Nguyễn Văn Huệ</t>
  </si>
  <si>
    <t>7.3</t>
  </si>
  <si>
    <t>Trịnh Phước Đào</t>
  </si>
  <si>
    <t>7.2</t>
  </si>
  <si>
    <t>Trần Thị Diệu</t>
  </si>
  <si>
    <t>7.1</t>
  </si>
  <si>
    <t>Huyện Càng Long</t>
  </si>
  <si>
    <t>Lê Thị Cẩm Thúy</t>
  </si>
  <si>
    <t>6.5</t>
  </si>
  <si>
    <t>Dương Bền</t>
  </si>
  <si>
    <t>6.4</t>
  </si>
  <si>
    <t>Thạch Sa Oanh</t>
  </si>
  <si>
    <t>6.3</t>
  </si>
  <si>
    <t>Phùng Hữu Trí</t>
  </si>
  <si>
    <t>6.2</t>
  </si>
  <si>
    <t>Nguyễn Minh Kiệt</t>
  </si>
  <si>
    <t>6.1</t>
  </si>
  <si>
    <t>Huyện Tiểu Cần</t>
  </si>
  <si>
    <t>Huỳnh Văn Kha</t>
  </si>
  <si>
    <t>5.5</t>
  </si>
  <si>
    <t>Dương Thanh Long</t>
  </si>
  <si>
    <t>5.4</t>
  </si>
  <si>
    <t>Thạch Chanh Đara</t>
  </si>
  <si>
    <t>Nguyễn Xuân Thành</t>
  </si>
  <si>
    <t>Trần Thị Điệp</t>
  </si>
  <si>
    <t>Huyện Cầu Ngang</t>
  </si>
  <si>
    <t>Lào Thị Hưởng</t>
  </si>
  <si>
    <t>Thạch ĐaRa</t>
  </si>
  <si>
    <t>Trương Thanh Hưng</t>
  </si>
  <si>
    <t>Trần Văn To</t>
  </si>
  <si>
    <t>Huyện Duyên Hải</t>
  </si>
  <si>
    <t>Trần Thị Ngọc Hương</t>
  </si>
  <si>
    <t>3.4</t>
  </si>
  <si>
    <t>Huỳnh Hoàng Vũ</t>
  </si>
  <si>
    <t>Ngô Văn Sỹ</t>
  </si>
  <si>
    <t>Trần Vũ Linh</t>
  </si>
  <si>
    <t>Thị Xã Duyên Hải</t>
  </si>
  <si>
    <t>Thạch Phong</t>
  </si>
  <si>
    <t>2.5</t>
  </si>
  <si>
    <t>Phạm Thị Mười</t>
  </si>
  <si>
    <t>2.4</t>
  </si>
  <si>
    <t>Trần Tấn Vinh</t>
  </si>
  <si>
    <t>2.3</t>
  </si>
  <si>
    <t>Trần Văn Tuấn</t>
  </si>
  <si>
    <t>Huỳnh Công Thành</t>
  </si>
  <si>
    <t>Huyện Châu Thành</t>
  </si>
  <si>
    <t>Trần Thị Thu Hiền</t>
  </si>
  <si>
    <t>Hồ Quốc Nhi</t>
  </si>
  <si>
    <t>Nguyễn Thanh Cao</t>
  </si>
  <si>
    <t>Lâm Sô Phone</t>
  </si>
  <si>
    <t>Lâm Văn Thừa</t>
  </si>
  <si>
    <t>Phan Ngọc Siêng</t>
  </si>
  <si>
    <t>Đặng Văn Hưởng</t>
  </si>
  <si>
    <t xml:space="preserve"> TP.Trà Vinh</t>
  </si>
  <si>
    <t>Cao Đức Phong</t>
  </si>
  <si>
    <t>Nguyễn Văn Dương</t>
  </si>
  <si>
    <t>Trương K.T.Luân</t>
  </si>
  <si>
    <t>Nguyên Văn Tam</t>
  </si>
  <si>
    <t>Phan Văn Phóng</t>
  </si>
  <si>
    <t>Chung Ngọc Cảnh</t>
  </si>
  <si>
    <t>Nguyễn Minh Khiêm</t>
  </si>
  <si>
    <t>Tổng cục THADS</t>
  </si>
  <si>
    <t>Ngày nhận báo cáo:……/….…/ 2015</t>
  </si>
  <si>
    <t>Đơn vị nhận báo cáo:</t>
  </si>
  <si>
    <t>Cục THADS tỉnh Trà Vinh</t>
  </si>
  <si>
    <t>Đơn vị  báo cáo:</t>
  </si>
  <si>
    <t>Dương Trung Trực</t>
  </si>
  <si>
    <t>Cục THADS TỈNH</t>
  </si>
  <si>
    <t>Tạm dừng THA để GQKN</t>
  </si>
  <si>
    <t>Tỷ lệ: 
( %) (xong  + đình chỉ+Giảm thi hành an)/ Có điều kiện * 100%</t>
  </si>
  <si>
    <t xml:space="preserve">
Tổng số chuyển
kỳ sau</t>
  </si>
  <si>
    <t>Cục 
THADS  rút lên thi hành</t>
  </si>
  <si>
    <t>Đơn vị tính: 1.000 đồng</t>
  </si>
  <si>
    <t xml:space="preserve">   KẾT QUẢ THI HÀNH ÁN DÂN SỰ TÍNH BẰNG TIỀN</t>
  </si>
  <si>
    <t>Nguyễn Khắc Thanh Dự</t>
  </si>
  <si>
    <t>Nguyễn K.Thanh Dự</t>
  </si>
  <si>
    <t>Phạm Thị Như Thủy</t>
  </si>
  <si>
    <t>35</t>
  </si>
  <si>
    <t>44</t>
  </si>
  <si>
    <t>272</t>
  </si>
  <si>
    <t>66</t>
  </si>
  <si>
    <t>38</t>
  </si>
  <si>
    <t>101</t>
  </si>
  <si>
    <t>28</t>
  </si>
  <si>
    <t>113</t>
  </si>
  <si>
    <t>201</t>
  </si>
  <si>
    <t>65</t>
  </si>
  <si>
    <t>60</t>
  </si>
  <si>
    <t>62</t>
  </si>
  <si>
    <t>16</t>
  </si>
  <si>
    <t>20</t>
  </si>
  <si>
    <t>805484</t>
  </si>
  <si>
    <t>138,663</t>
  </si>
  <si>
    <t>5625599</t>
  </si>
  <si>
    <t>4,647,354</t>
  </si>
  <si>
    <t>281,211</t>
  </si>
  <si>
    <t>431,996</t>
  </si>
  <si>
    <t>1,775</t>
  </si>
  <si>
    <t>8,400</t>
  </si>
  <si>
    <t>3,647,940</t>
  </si>
  <si>
    <t>405746</t>
  </si>
  <si>
    <t>102</t>
  </si>
  <si>
    <t>53</t>
  </si>
  <si>
    <t>50</t>
  </si>
  <si>
    <t>71</t>
  </si>
  <si>
    <t>76</t>
  </si>
  <si>
    <t>64</t>
  </si>
  <si>
    <t>136</t>
  </si>
  <si>
    <t>26</t>
  </si>
  <si>
    <t>21</t>
  </si>
  <si>
    <t>30</t>
  </si>
  <si>
    <t>88</t>
  </si>
  <si>
    <t>Trà Vinh, ngày 01 tháng 02 năm 2016</t>
  </si>
  <si>
    <t>04 tháng/ năm 2016</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</si>
</sst>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US$&quot;#,##0_);\(&quot;US$&quot;#,##0\)"/>
    <numFmt numFmtId="173" formatCode="&quot;US$&quot;#,##0_);[Red]\(&quot;US$&quot;#,##0\)"/>
    <numFmt numFmtId="174" formatCode="&quot;US$&quot;#,##0.00_);\(&quot;US$&quot;#,##0.00\)"/>
    <numFmt numFmtId="175" formatCode="&quot;US$&quot;#,##0.00_);[Red]\(&quot;US$&quot;#,##0.00\)"/>
    <numFmt numFmtId="176" formatCode="0.0000E+00;&quot;宐&quot;"/>
    <numFmt numFmtId="177" formatCode="0.0000E+00;&quot;羈&quot;"/>
    <numFmt numFmtId="178" formatCode="0.000E+00;&quot;羈&quot;"/>
    <numFmt numFmtId="179" formatCode="0.00E+00;&quot;羈&quot;"/>
    <numFmt numFmtId="180" formatCode="0.0E+00;&quot;羈&quot;"/>
    <numFmt numFmtId="181" formatCode="0.00000E+00;&quot;羈&quot;"/>
    <numFmt numFmtId="182" formatCode="0.000000E+00;&quot;羈&quot;"/>
    <numFmt numFmtId="183" formatCode="0.0000000E+00;&quot;羈&quot;"/>
    <numFmt numFmtId="184" formatCode="0.00000000E+00;&quot;羈&quot;"/>
    <numFmt numFmtId="185" formatCode="_(* #,##0.0_);_(* \(#,##0.0\);_(* &quot;-&quot;??_);_(@_)"/>
    <numFmt numFmtId="186" formatCode="_(* #,##0_);_(* \(#,##0\);_(* &quot;-&quot;??_);_(@_)"/>
    <numFmt numFmtId="187" formatCode="&quot;Yes&quot;;&quot;Yes&quot;;&quot;No&quot;"/>
    <numFmt numFmtId="188" formatCode="&quot;True&quot;;&quot;True&quot;;&quot;False&quot;"/>
    <numFmt numFmtId="189" formatCode="&quot;On&quot;;&quot;On&quot;;&quot;Off&quot;"/>
    <numFmt numFmtId="190" formatCode="[$€-2]\ #,##0.00_);[Red]\([$€-2]\ #,##0.00\)"/>
    <numFmt numFmtId="191" formatCode="[$-409]h:mm:ss\ AM/PM"/>
    <numFmt numFmtId="192" formatCode="[$-409]dddd\,\ mmmm\ dd\,\ yyyy"/>
    <numFmt numFmtId="193" formatCode="0.00&quot;%&quot;"/>
    <numFmt numFmtId="194" formatCode="#,##0.0"/>
  </numFmts>
  <fonts count="88">
    <font>
      <sz val="12"/>
      <name val="Times New Roman"/>
      <family val="1"/>
    </font>
    <font>
      <sz val="12"/>
      <name val=".VnTime"/>
      <family val="2"/>
    </font>
    <font>
      <b/>
      <sz val="12"/>
      <name val=".VnTime"/>
      <family val="2"/>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8"/>
      <name val="Times New Roman"/>
      <family val="1"/>
    </font>
    <font>
      <sz val="10"/>
      <name val="Arial"/>
      <family val="2"/>
    </font>
    <font>
      <i/>
      <sz val="8"/>
      <name val="Times New Roman"/>
      <family val="1"/>
    </font>
    <font>
      <sz val="6"/>
      <color indexed="10"/>
      <name val="Times New Roman"/>
      <family val="1"/>
    </font>
    <font>
      <b/>
      <sz val="6"/>
      <color indexed="53"/>
      <name val="Times New Roman"/>
      <family val="1"/>
    </font>
    <font>
      <sz val="6"/>
      <name val="Times New Roman"/>
      <family val="1"/>
    </font>
    <font>
      <sz val="6"/>
      <color indexed="8"/>
      <name val="Times New Roman"/>
      <family val="1"/>
    </font>
    <font>
      <sz val="7"/>
      <name val="Times New Roman"/>
      <family val="1"/>
    </font>
    <font>
      <b/>
      <sz val="7"/>
      <name val="Times New Roman"/>
      <family val="1"/>
    </font>
    <font>
      <b/>
      <sz val="6"/>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0"/>
      <name val="Times New Roman"/>
      <family val="1"/>
    </font>
    <font>
      <sz val="10"/>
      <color indexed="10"/>
      <name val="Times New Roman"/>
      <family val="1"/>
    </font>
    <font>
      <b/>
      <sz val="8"/>
      <color indexed="10"/>
      <name val="Times New Roman"/>
      <family val="1"/>
    </font>
    <font>
      <sz val="12"/>
      <color indexed="60"/>
      <name val="Times New Roman"/>
      <family val="1"/>
    </font>
    <font>
      <b/>
      <sz val="6"/>
      <color indexed="10"/>
      <name val="Times New Roman"/>
      <family val="1"/>
    </font>
    <font>
      <sz val="6"/>
      <color indexed="60"/>
      <name val="Times New Roman"/>
      <family val="1"/>
    </font>
    <font>
      <i/>
      <sz val="8"/>
      <color indexed="10"/>
      <name val="Times New Roman"/>
      <family val="1"/>
    </font>
    <font>
      <sz val="9"/>
      <color indexed="10"/>
      <name val="Times New Roman"/>
      <family val="1"/>
    </font>
    <font>
      <sz val="7"/>
      <color indexed="10"/>
      <name val="Times New Roman"/>
      <family val="1"/>
    </font>
    <font>
      <b/>
      <i/>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Times New Roman"/>
      <family val="1"/>
    </font>
    <font>
      <sz val="12"/>
      <color rgb="FFC00000"/>
      <name val="Times New Roman"/>
      <family val="1"/>
    </font>
    <font>
      <sz val="6"/>
      <color rgb="FFFF0000"/>
      <name val="Times New Roman"/>
      <family val="1"/>
    </font>
    <font>
      <b/>
      <sz val="8"/>
      <color rgb="FFFF0000"/>
      <name val="Times New Roman"/>
      <family val="1"/>
    </font>
    <font>
      <b/>
      <sz val="6"/>
      <color rgb="FFFF0000"/>
      <name val="Times New Roman"/>
      <family val="1"/>
    </font>
    <font>
      <sz val="6"/>
      <color rgb="FFC00000"/>
      <name val="Times New Roman"/>
      <family val="1"/>
    </font>
    <font>
      <i/>
      <sz val="8"/>
      <color rgb="FFFF0000"/>
      <name val="Times New Roman"/>
      <family val="1"/>
    </font>
    <font>
      <sz val="11"/>
      <color rgb="FFFF0000"/>
      <name val="Times New Roman"/>
      <family val="1"/>
    </font>
    <font>
      <sz val="7"/>
      <color rgb="FFFF0000"/>
      <name val="Times New Roman"/>
      <family val="1"/>
    </font>
    <font>
      <sz val="9"/>
      <color rgb="FFFF0000"/>
      <name val="Times New Roman"/>
      <family val="1"/>
    </font>
    <font>
      <b/>
      <i/>
      <sz val="10"/>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24"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0"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9"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24" fillId="0" borderId="0" applyFont="0" applyFill="0" applyBorder="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301">
    <xf numFmtId="0" fontId="0" fillId="0" borderId="0" xfId="0" applyAlignment="1">
      <alignment/>
    </xf>
    <xf numFmtId="49" fontId="0" fillId="0" borderId="0" xfId="0" applyNumberFormat="1" applyFill="1" applyAlignment="1">
      <alignment/>
    </xf>
    <xf numFmtId="49" fontId="5" fillId="0" borderId="10" xfId="0" applyNumberFormat="1" applyFont="1" applyFill="1" applyBorder="1" applyAlignment="1">
      <alignment horizontal="left"/>
    </xf>
    <xf numFmtId="49" fontId="7" fillId="0" borderId="1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12" xfId="0" applyNumberFormat="1" applyFont="1" applyFill="1" applyBorder="1" applyAlignment="1">
      <alignment/>
    </xf>
    <xf numFmtId="49" fontId="5" fillId="0" borderId="12" xfId="0" applyNumberFormat="1" applyFont="1" applyFill="1" applyBorder="1" applyAlignment="1">
      <alignment/>
    </xf>
    <xf numFmtId="49" fontId="5"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xf>
    <xf numFmtId="49" fontId="6" fillId="0" borderId="10" xfId="0" applyNumberFormat="1" applyFont="1" applyFill="1" applyBorder="1" applyAlignment="1">
      <alignment horizontal="left"/>
    </xf>
    <xf numFmtId="49" fontId="15" fillId="0" borderId="10" xfId="0" applyNumberFormat="1" applyFont="1" applyFill="1" applyBorder="1" applyAlignment="1">
      <alignment horizontal="center" vertical="center" wrapText="1"/>
    </xf>
    <xf numFmtId="49" fontId="6" fillId="0" borderId="13" xfId="0" applyNumberFormat="1" applyFont="1" applyFill="1" applyBorder="1" applyAlignment="1">
      <alignment horizontal="center"/>
    </xf>
    <xf numFmtId="49" fontId="11" fillId="0" borderId="10" xfId="0" applyNumberFormat="1" applyFont="1" applyFill="1" applyBorder="1" applyAlignment="1">
      <alignment horizontal="left"/>
    </xf>
    <xf numFmtId="49" fontId="5" fillId="0" borderId="10" xfId="0" applyNumberFormat="1" applyFont="1" applyFill="1" applyBorder="1" applyAlignment="1">
      <alignment horizontal="center"/>
    </xf>
    <xf numFmtId="49" fontId="7" fillId="0" borderId="10" xfId="0" applyNumberFormat="1" applyFont="1" applyFill="1" applyBorder="1" applyAlignment="1">
      <alignment horizontal="center"/>
    </xf>
    <xf numFmtId="49" fontId="16" fillId="0" borderId="10" xfId="0" applyNumberFormat="1" applyFont="1" applyFill="1" applyBorder="1" applyAlignment="1">
      <alignment horizontal="center"/>
    </xf>
    <xf numFmtId="49" fontId="18" fillId="0" borderId="0" xfId="0" applyNumberFormat="1" applyFont="1" applyFill="1" applyAlignment="1">
      <alignment/>
    </xf>
    <xf numFmtId="49" fontId="20" fillId="0" borderId="0" xfId="0" applyNumberFormat="1" applyFont="1" applyFill="1" applyAlignment="1">
      <alignment/>
    </xf>
    <xf numFmtId="49" fontId="3" fillId="0" borderId="0" xfId="0" applyNumberFormat="1" applyFont="1" applyFill="1" applyAlignment="1">
      <alignment/>
    </xf>
    <xf numFmtId="49" fontId="12" fillId="0" borderId="0" xfId="0" applyNumberFormat="1" applyFont="1" applyFill="1" applyAlignment="1">
      <alignment wrapText="1"/>
    </xf>
    <xf numFmtId="49" fontId="4" fillId="0" borderId="0" xfId="0" applyNumberFormat="1" applyFont="1" applyFill="1" applyAlignment="1">
      <alignment/>
    </xf>
    <xf numFmtId="49" fontId="3" fillId="0" borderId="0" xfId="0" applyNumberFormat="1" applyFont="1" applyFill="1" applyAlignment="1">
      <alignment wrapText="1"/>
    </xf>
    <xf numFmtId="49" fontId="5" fillId="0" borderId="10" xfId="0" applyNumberFormat="1" applyFont="1" applyFill="1" applyBorder="1" applyAlignment="1">
      <alignment/>
    </xf>
    <xf numFmtId="49" fontId="14" fillId="0" borderId="0" xfId="0" applyNumberFormat="1" applyFont="1" applyFill="1" applyBorder="1" applyAlignment="1">
      <alignment vertical="center" wrapText="1"/>
    </xf>
    <xf numFmtId="49" fontId="17" fillId="0" borderId="0" xfId="0" applyNumberFormat="1" applyFont="1" applyFill="1" applyAlignment="1">
      <alignment/>
    </xf>
    <xf numFmtId="49" fontId="21" fillId="0" borderId="0" xfId="0" applyNumberFormat="1" applyFont="1" applyFill="1" applyBorder="1" applyAlignment="1">
      <alignment vertical="center" wrapText="1"/>
    </xf>
    <xf numFmtId="49" fontId="7" fillId="33" borderId="0" xfId="0" applyNumberFormat="1" applyFont="1" applyFill="1" applyBorder="1" applyAlignment="1">
      <alignment/>
    </xf>
    <xf numFmtId="49" fontId="1" fillId="33" borderId="0" xfId="0" applyNumberFormat="1" applyFont="1" applyFill="1" applyBorder="1" applyAlignment="1">
      <alignment/>
    </xf>
    <xf numFmtId="49" fontId="7" fillId="33" borderId="0" xfId="0" applyNumberFormat="1" applyFont="1" applyFill="1" applyAlignment="1">
      <alignment/>
    </xf>
    <xf numFmtId="49" fontId="0" fillId="33" borderId="0" xfId="0" applyNumberFormat="1" applyFont="1" applyFill="1" applyAlignment="1">
      <alignment/>
    </xf>
    <xf numFmtId="49" fontId="0" fillId="33" borderId="10" xfId="0" applyNumberFormat="1" applyFont="1" applyFill="1" applyBorder="1" applyAlignment="1">
      <alignment/>
    </xf>
    <xf numFmtId="49" fontId="0" fillId="33" borderId="0" xfId="0" applyNumberFormat="1" applyFont="1" applyFill="1" applyBorder="1" applyAlignment="1">
      <alignment/>
    </xf>
    <xf numFmtId="49" fontId="0" fillId="33" borderId="0" xfId="0" applyNumberFormat="1" applyFont="1" applyFill="1" applyBorder="1" applyAlignment="1">
      <alignment horizontal="center"/>
    </xf>
    <xf numFmtId="49" fontId="0" fillId="33" borderId="0" xfId="0" applyNumberFormat="1" applyFont="1" applyFill="1" applyAlignment="1">
      <alignment/>
    </xf>
    <xf numFmtId="49" fontId="3" fillId="33" borderId="0" xfId="0" applyNumberFormat="1" applyFont="1" applyFill="1" applyBorder="1" applyAlignment="1">
      <alignment/>
    </xf>
    <xf numFmtId="49" fontId="0" fillId="33" borderId="0" xfId="0" applyNumberFormat="1" applyFont="1" applyFill="1" applyBorder="1" applyAlignment="1">
      <alignment/>
    </xf>
    <xf numFmtId="49" fontId="2" fillId="33" borderId="0" xfId="0" applyNumberFormat="1" applyFont="1" applyFill="1" applyBorder="1" applyAlignment="1">
      <alignment/>
    </xf>
    <xf numFmtId="49" fontId="0" fillId="33" borderId="0" xfId="0" applyNumberFormat="1" applyFont="1" applyFill="1" applyBorder="1" applyAlignment="1">
      <alignment wrapText="1"/>
    </xf>
    <xf numFmtId="49" fontId="4" fillId="33" borderId="0" xfId="0" applyNumberFormat="1" applyFont="1" applyFill="1" applyAlignment="1">
      <alignment wrapText="1"/>
    </xf>
    <xf numFmtId="49" fontId="14" fillId="33" borderId="0" xfId="0" applyNumberFormat="1" applyFont="1" applyFill="1" applyBorder="1" applyAlignment="1">
      <alignment wrapText="1"/>
    </xf>
    <xf numFmtId="49" fontId="3" fillId="33" borderId="0" xfId="0" applyNumberFormat="1" applyFont="1" applyFill="1" applyAlignment="1">
      <alignment/>
    </xf>
    <xf numFmtId="49" fontId="14" fillId="33" borderId="0" xfId="0" applyNumberFormat="1" applyFont="1" applyFill="1" applyBorder="1" applyAlignment="1">
      <alignment horizontal="center" wrapText="1"/>
    </xf>
    <xf numFmtId="49" fontId="13" fillId="33" borderId="0" xfId="0" applyNumberFormat="1" applyFont="1" applyFill="1" applyBorder="1" applyAlignment="1">
      <alignment horizontal="center" wrapText="1"/>
    </xf>
    <xf numFmtId="49" fontId="13" fillId="33" borderId="0" xfId="0" applyNumberFormat="1" applyFont="1" applyFill="1" applyBorder="1" applyAlignment="1">
      <alignment horizontal="center" vertical="center"/>
    </xf>
    <xf numFmtId="49" fontId="0" fillId="33" borderId="0" xfId="0" applyNumberFormat="1" applyFont="1" applyFill="1" applyAlignment="1">
      <alignment horizontal="center"/>
    </xf>
    <xf numFmtId="49" fontId="3" fillId="33" borderId="0" xfId="0" applyNumberFormat="1" applyFont="1" applyFill="1" applyAlignment="1">
      <alignment horizontal="center"/>
    </xf>
    <xf numFmtId="186" fontId="77" fillId="33" borderId="0" xfId="0" applyNumberFormat="1" applyFont="1" applyFill="1" applyBorder="1" applyAlignment="1">
      <alignment horizontal="center" vertical="center"/>
    </xf>
    <xf numFmtId="49" fontId="4" fillId="33" borderId="0" xfId="0" applyNumberFormat="1" applyFont="1" applyFill="1" applyBorder="1" applyAlignment="1">
      <alignment wrapText="1"/>
    </xf>
    <xf numFmtId="49" fontId="21" fillId="33" borderId="0" xfId="0" applyNumberFormat="1" applyFont="1" applyFill="1" applyBorder="1" applyAlignment="1">
      <alignment horizontal="center" vertical="center"/>
    </xf>
    <xf numFmtId="0" fontId="21" fillId="33" borderId="0" xfId="0" applyNumberFormat="1" applyFont="1" applyFill="1" applyBorder="1" applyAlignment="1">
      <alignment horizontal="center" vertical="center"/>
    </xf>
    <xf numFmtId="49" fontId="0" fillId="33" borderId="14" xfId="0" applyNumberFormat="1" applyFont="1" applyFill="1" applyBorder="1" applyAlignment="1">
      <alignment/>
    </xf>
    <xf numFmtId="186" fontId="78" fillId="33" borderId="0" xfId="0" applyNumberFormat="1" applyFont="1" applyFill="1" applyBorder="1" applyAlignment="1">
      <alignment/>
    </xf>
    <xf numFmtId="186" fontId="26" fillId="0" borderId="0" xfId="0" applyNumberFormat="1" applyFont="1" applyBorder="1" applyAlignment="1">
      <alignment horizontal="center" vertical="center"/>
    </xf>
    <xf numFmtId="193" fontId="27" fillId="34" borderId="0" xfId="0" applyNumberFormat="1" applyFont="1" applyFill="1" applyBorder="1" applyAlignment="1">
      <alignment vertical="center"/>
    </xf>
    <xf numFmtId="193" fontId="28" fillId="33" borderId="0" xfId="0" applyNumberFormat="1" applyFont="1" applyFill="1" applyBorder="1" applyAlignment="1">
      <alignment horizontal="center" vertical="center"/>
    </xf>
    <xf numFmtId="186" fontId="79" fillId="33" borderId="0" xfId="0" applyNumberFormat="1" applyFont="1" applyFill="1" applyBorder="1" applyAlignment="1">
      <alignment horizontal="center"/>
    </xf>
    <xf numFmtId="186" fontId="29" fillId="34" borderId="0" xfId="44" applyNumberFormat="1" applyFont="1" applyFill="1" applyBorder="1" applyAlignment="1">
      <alignment horizontal="center"/>
    </xf>
    <xf numFmtId="186" fontId="28" fillId="34" borderId="0" xfId="44" applyNumberFormat="1" applyFont="1" applyFill="1" applyBorder="1" applyAlignment="1" applyProtection="1">
      <alignment horizontal="center" vertical="center"/>
      <protection/>
    </xf>
    <xf numFmtId="186" fontId="28" fillId="33" borderId="0" xfId="0" applyNumberFormat="1" applyFont="1" applyFill="1" applyBorder="1" applyAlignment="1" applyProtection="1">
      <alignment horizontal="center" vertical="center"/>
      <protection/>
    </xf>
    <xf numFmtId="186" fontId="79" fillId="33" borderId="0" xfId="0" applyNumberFormat="1" applyFont="1" applyFill="1" applyBorder="1" applyAlignment="1" applyProtection="1">
      <alignment horizontal="center" vertical="center"/>
      <protection/>
    </xf>
    <xf numFmtId="186" fontId="26" fillId="34" borderId="0" xfId="44" applyNumberFormat="1" applyFont="1" applyFill="1" applyBorder="1" applyAlignment="1" applyProtection="1">
      <alignment horizontal="center" vertical="center"/>
      <protection/>
    </xf>
    <xf numFmtId="49" fontId="28" fillId="33" borderId="0" xfId="0" applyNumberFormat="1" applyFont="1" applyFill="1" applyBorder="1" applyAlignment="1" applyProtection="1">
      <alignment vertical="center"/>
      <protection/>
    </xf>
    <xf numFmtId="49" fontId="28" fillId="33" borderId="0" xfId="0" applyNumberFormat="1" applyFont="1" applyFill="1" applyBorder="1" applyAlignment="1" applyProtection="1">
      <alignment horizontal="center" vertical="center"/>
      <protection/>
    </xf>
    <xf numFmtId="4" fontId="5" fillId="33" borderId="0" xfId="0" applyNumberFormat="1" applyFont="1" applyFill="1" applyBorder="1" applyAlignment="1">
      <alignment horizontal="center" vertical="center"/>
    </xf>
    <xf numFmtId="3" fontId="5" fillId="33" borderId="0" xfId="0" applyNumberFormat="1" applyFont="1" applyFill="1" applyBorder="1" applyAlignment="1">
      <alignment horizontal="center" vertical="center"/>
    </xf>
    <xf numFmtId="186" fontId="77" fillId="0" borderId="0" xfId="0" applyNumberFormat="1" applyFont="1" applyBorder="1" applyAlignment="1">
      <alignment horizontal="center" vertical="center"/>
    </xf>
    <xf numFmtId="193" fontId="80" fillId="34" borderId="0" xfId="0" applyNumberFormat="1" applyFont="1" applyFill="1" applyBorder="1" applyAlignment="1">
      <alignment vertical="center"/>
    </xf>
    <xf numFmtId="186" fontId="28" fillId="33" borderId="0" xfId="0" applyNumberFormat="1" applyFont="1" applyFill="1" applyBorder="1" applyAlignment="1">
      <alignment horizontal="center"/>
    </xf>
    <xf numFmtId="186" fontId="28" fillId="33" borderId="0" xfId="67" applyNumberFormat="1" applyFont="1" applyFill="1" applyBorder="1" applyAlignment="1" applyProtection="1">
      <alignment horizontal="center" vertical="center"/>
      <protection/>
    </xf>
    <xf numFmtId="49" fontId="28" fillId="34" borderId="0" xfId="0" applyNumberFormat="1" applyFont="1" applyFill="1" applyBorder="1" applyAlignment="1" applyProtection="1">
      <alignment horizontal="left" vertical="center"/>
      <protection/>
    </xf>
    <xf numFmtId="49" fontId="81" fillId="33" borderId="0" xfId="0" applyNumberFormat="1" applyFont="1" applyFill="1" applyBorder="1" applyAlignment="1" applyProtection="1">
      <alignment vertical="center"/>
      <protection/>
    </xf>
    <xf numFmtId="49" fontId="81" fillId="33" borderId="0" xfId="0" applyNumberFormat="1" applyFont="1" applyFill="1" applyBorder="1" applyAlignment="1" applyProtection="1">
      <alignment horizontal="center" vertical="center"/>
      <protection/>
    </xf>
    <xf numFmtId="186" fontId="27" fillId="34" borderId="0" xfId="0" applyNumberFormat="1" applyFont="1" applyFill="1" applyBorder="1" applyAlignment="1">
      <alignment vertical="center"/>
    </xf>
    <xf numFmtId="49" fontId="22" fillId="33" borderId="10" xfId="0" applyNumberFormat="1" applyFont="1" applyFill="1" applyBorder="1" applyAlignment="1" applyProtection="1">
      <alignment vertical="center"/>
      <protection/>
    </xf>
    <xf numFmtId="186" fontId="29" fillId="34" borderId="0" xfId="0" applyNumberFormat="1" applyFont="1" applyFill="1" applyBorder="1" applyAlignment="1" applyProtection="1">
      <alignment vertical="center"/>
      <protection/>
    </xf>
    <xf numFmtId="43" fontId="28" fillId="33" borderId="10" xfId="44" applyFont="1" applyFill="1" applyBorder="1" applyAlignment="1" applyProtection="1">
      <alignment horizontal="center" vertical="center"/>
      <protection/>
    </xf>
    <xf numFmtId="186" fontId="28" fillId="34" borderId="0" xfId="0" applyNumberFormat="1" applyFont="1" applyFill="1" applyBorder="1" applyAlignment="1" applyProtection="1">
      <alignment vertical="center"/>
      <protection/>
    </xf>
    <xf numFmtId="186" fontId="28" fillId="33" borderId="10" xfId="0" applyNumberFormat="1" applyFont="1" applyFill="1" applyBorder="1" applyAlignment="1" applyProtection="1">
      <alignment horizontal="center" vertical="center"/>
      <protection/>
    </xf>
    <xf numFmtId="186" fontId="82" fillId="33" borderId="0" xfId="0" applyNumberFormat="1" applyFont="1" applyFill="1" applyBorder="1" applyAlignment="1">
      <alignment horizontal="center"/>
    </xf>
    <xf numFmtId="186" fontId="82" fillId="33" borderId="0" xfId="0" applyNumberFormat="1" applyFont="1" applyFill="1" applyBorder="1" applyAlignment="1" applyProtection="1">
      <alignment horizontal="center" vertical="center"/>
      <protection/>
    </xf>
    <xf numFmtId="49" fontId="28" fillId="34" borderId="0" xfId="0" applyNumberFormat="1" applyFont="1" applyFill="1" applyBorder="1" applyAlignment="1">
      <alignment/>
    </xf>
    <xf numFmtId="49" fontId="83" fillId="33" borderId="0" xfId="0" applyNumberFormat="1" applyFont="1" applyFill="1" applyBorder="1" applyAlignment="1" applyProtection="1">
      <alignment horizontal="center" vertical="center"/>
      <protection/>
    </xf>
    <xf numFmtId="49" fontId="22" fillId="33" borderId="0" xfId="0" applyNumberFormat="1" applyFont="1" applyFill="1" applyBorder="1" applyAlignment="1">
      <alignment horizontal="center" vertical="center" wrapText="1"/>
    </xf>
    <xf numFmtId="49" fontId="22" fillId="33" borderId="0" xfId="0" applyNumberFormat="1" applyFont="1" applyFill="1" applyBorder="1" applyAlignment="1" applyProtection="1">
      <alignment horizontal="center" vertical="center" wrapText="1"/>
      <protection/>
    </xf>
    <xf numFmtId="49" fontId="4" fillId="33" borderId="0" xfId="0" applyNumberFormat="1" applyFont="1" applyFill="1" applyAlignment="1">
      <alignment/>
    </xf>
    <xf numFmtId="49" fontId="14" fillId="33" borderId="15" xfId="0" applyNumberFormat="1" applyFont="1" applyFill="1" applyBorder="1" applyAlignment="1">
      <alignment wrapText="1"/>
    </xf>
    <xf numFmtId="193" fontId="28" fillId="33" borderId="10" xfId="0" applyNumberFormat="1" applyFont="1" applyFill="1" applyBorder="1" applyAlignment="1">
      <alignment horizontal="center" vertical="center"/>
    </xf>
    <xf numFmtId="49" fontId="28" fillId="33" borderId="10" xfId="0" applyNumberFormat="1" applyFont="1" applyFill="1" applyBorder="1" applyAlignment="1" applyProtection="1">
      <alignment horizontal="center" vertical="center"/>
      <protection/>
    </xf>
    <xf numFmtId="186" fontId="28" fillId="33" borderId="10" xfId="67" applyNumberFormat="1" applyFont="1" applyFill="1" applyBorder="1" applyAlignment="1" applyProtection="1">
      <alignment horizontal="center" vertical="center"/>
      <protection/>
    </xf>
    <xf numFmtId="49" fontId="28" fillId="33" borderId="10" xfId="0" applyNumberFormat="1" applyFont="1" applyFill="1" applyBorder="1" applyAlignment="1" applyProtection="1">
      <alignment vertical="center"/>
      <protection/>
    </xf>
    <xf numFmtId="3" fontId="4" fillId="33" borderId="0" xfId="0" applyNumberFormat="1" applyFont="1" applyFill="1" applyAlignment="1">
      <alignment wrapText="1"/>
    </xf>
    <xf numFmtId="3" fontId="84" fillId="33" borderId="0" xfId="0" applyNumberFormat="1" applyFont="1" applyFill="1" applyAlignment="1">
      <alignment horizontal="center" wrapText="1"/>
    </xf>
    <xf numFmtId="0" fontId="84" fillId="33" borderId="0" xfId="0" applyNumberFormat="1" applyFont="1" applyFill="1" applyAlignment="1">
      <alignment horizontal="center" wrapText="1"/>
    </xf>
    <xf numFmtId="3" fontId="83" fillId="33" borderId="0" xfId="0" applyNumberFormat="1" applyFont="1" applyFill="1" applyBorder="1" applyAlignment="1" applyProtection="1">
      <alignment horizontal="center" vertical="center"/>
      <protection/>
    </xf>
    <xf numFmtId="49" fontId="22" fillId="33" borderId="10" xfId="0" applyNumberFormat="1" applyFont="1" applyFill="1" applyBorder="1" applyAlignment="1">
      <alignment vertical="center"/>
    </xf>
    <xf numFmtId="1" fontId="22" fillId="33" borderId="10" xfId="0" applyNumberFormat="1" applyFont="1" applyFill="1" applyBorder="1" applyAlignment="1">
      <alignment vertical="center"/>
    </xf>
    <xf numFmtId="186" fontId="22" fillId="33" borderId="11" xfId="0" applyNumberFormat="1" applyFont="1" applyFill="1" applyBorder="1" applyAlignment="1">
      <alignment vertical="center"/>
    </xf>
    <xf numFmtId="49" fontId="5" fillId="33" borderId="0" xfId="0" applyNumberFormat="1" applyFont="1" applyFill="1" applyAlignment="1">
      <alignment/>
    </xf>
    <xf numFmtId="49" fontId="5" fillId="33" borderId="0" xfId="0" applyNumberFormat="1" applyFont="1" applyFill="1" applyAlignment="1">
      <alignment/>
    </xf>
    <xf numFmtId="49" fontId="28" fillId="33" borderId="0" xfId="0" applyNumberFormat="1" applyFont="1" applyFill="1" applyAlignment="1">
      <alignment/>
    </xf>
    <xf numFmtId="41" fontId="28" fillId="33" borderId="10" xfId="44" applyNumberFormat="1" applyFont="1" applyFill="1" applyBorder="1" applyAlignment="1" applyProtection="1">
      <alignment horizontal="center" vertical="center"/>
      <protection/>
    </xf>
    <xf numFmtId="3" fontId="31" fillId="33" borderId="0" xfId="0" applyNumberFormat="1" applyFont="1" applyFill="1" applyBorder="1" applyAlignment="1">
      <alignment horizontal="center" vertical="center" wrapText="1"/>
    </xf>
    <xf numFmtId="186" fontId="28" fillId="33" borderId="11" xfId="0" applyNumberFormat="1" applyFont="1" applyFill="1" applyBorder="1" applyAlignment="1" applyProtection="1">
      <alignment horizontal="center" vertical="center"/>
      <protection/>
    </xf>
    <xf numFmtId="186" fontId="28" fillId="33" borderId="11" xfId="67" applyNumberFormat="1" applyFont="1" applyFill="1" applyBorder="1" applyAlignment="1" applyProtection="1">
      <alignment horizontal="center" vertical="center"/>
      <protection/>
    </xf>
    <xf numFmtId="186" fontId="28" fillId="33" borderId="10" xfId="0" applyNumberFormat="1" applyFont="1" applyFill="1" applyBorder="1" applyAlignment="1">
      <alignment horizontal="center" vertical="center"/>
    </xf>
    <xf numFmtId="186" fontId="28" fillId="33" borderId="11" xfId="0" applyNumberFormat="1" applyFont="1" applyFill="1" applyBorder="1" applyAlignment="1">
      <alignment horizontal="center" vertical="center"/>
    </xf>
    <xf numFmtId="186" fontId="22" fillId="33" borderId="10" xfId="0" applyNumberFormat="1" applyFont="1" applyFill="1" applyBorder="1" applyAlignment="1" applyProtection="1">
      <alignment vertical="center"/>
      <protection/>
    </xf>
    <xf numFmtId="193" fontId="22" fillId="33" borderId="16" xfId="0" applyNumberFormat="1" applyFont="1" applyFill="1" applyBorder="1" applyAlignment="1">
      <alignment vertical="center"/>
    </xf>
    <xf numFmtId="186" fontId="22" fillId="33" borderId="10" xfId="67" applyNumberFormat="1" applyFont="1" applyFill="1" applyBorder="1" applyAlignment="1" applyProtection="1">
      <alignment vertical="center"/>
      <protection/>
    </xf>
    <xf numFmtId="186" fontId="22" fillId="33" borderId="11" xfId="0" applyNumberFormat="1" applyFont="1" applyFill="1" applyBorder="1" applyAlignment="1" applyProtection="1">
      <alignment vertical="center"/>
      <protection/>
    </xf>
    <xf numFmtId="186" fontId="22" fillId="33" borderId="11" xfId="67" applyNumberFormat="1" applyFont="1" applyFill="1" applyBorder="1" applyAlignment="1" applyProtection="1">
      <alignment vertical="center"/>
      <protection/>
    </xf>
    <xf numFmtId="186" fontId="22" fillId="33" borderId="10" xfId="44" applyNumberFormat="1" applyFont="1" applyFill="1" applyBorder="1" applyAlignment="1" applyProtection="1">
      <alignment vertical="center"/>
      <protection/>
    </xf>
    <xf numFmtId="186" fontId="22" fillId="33" borderId="10" xfId="0" applyNumberFormat="1" applyFont="1" applyFill="1" applyBorder="1" applyAlignment="1" applyProtection="1">
      <alignment horizontal="center" vertical="center"/>
      <protection/>
    </xf>
    <xf numFmtId="186" fontId="22" fillId="33" borderId="10" xfId="67" applyNumberFormat="1" applyFont="1" applyFill="1" applyBorder="1" applyAlignment="1" applyProtection="1">
      <alignment horizontal="center" vertical="center"/>
      <protection/>
    </xf>
    <xf numFmtId="186" fontId="22" fillId="33" borderId="10" xfId="0" applyNumberFormat="1" applyFont="1" applyFill="1" applyBorder="1" applyAlignment="1">
      <alignment horizontal="center" vertical="center"/>
    </xf>
    <xf numFmtId="186" fontId="28" fillId="33" borderId="10" xfId="44" applyNumberFormat="1" applyFont="1" applyFill="1" applyBorder="1" applyAlignment="1" applyProtection="1">
      <alignment horizontal="center" vertical="center"/>
      <protection/>
    </xf>
    <xf numFmtId="186" fontId="28" fillId="33" borderId="10" xfId="44" applyNumberFormat="1" applyFont="1" applyFill="1" applyBorder="1" applyAlignment="1">
      <alignment horizontal="center"/>
    </xf>
    <xf numFmtId="49" fontId="0" fillId="33" borderId="0" xfId="0" applyNumberFormat="1" applyFont="1" applyFill="1" applyBorder="1" applyAlignment="1">
      <alignment/>
    </xf>
    <xf numFmtId="49" fontId="0" fillId="33" borderId="0" xfId="0" applyNumberFormat="1" applyFont="1" applyFill="1" applyBorder="1" applyAlignment="1">
      <alignment wrapText="1"/>
    </xf>
    <xf numFmtId="49" fontId="8" fillId="33" borderId="0" xfId="0" applyNumberFormat="1" applyFont="1" applyFill="1" applyBorder="1" applyAlignment="1" applyProtection="1">
      <alignment horizontal="center" vertical="center" wrapText="1"/>
      <protection/>
    </xf>
    <xf numFmtId="49" fontId="8" fillId="33" borderId="0" xfId="0" applyNumberFormat="1" applyFont="1" applyFill="1" applyBorder="1" applyAlignment="1">
      <alignment horizontal="center" vertical="center" wrapText="1"/>
    </xf>
    <xf numFmtId="49" fontId="13" fillId="33" borderId="0" xfId="0" applyNumberFormat="1" applyFont="1" applyFill="1" applyBorder="1" applyAlignment="1">
      <alignment horizontal="center" vertical="center"/>
    </xf>
    <xf numFmtId="49" fontId="13" fillId="33" borderId="0" xfId="0" applyNumberFormat="1" applyFont="1" applyFill="1" applyBorder="1" applyAlignment="1">
      <alignment horizontal="center" wrapText="1"/>
    </xf>
    <xf numFmtId="0" fontId="17" fillId="33" borderId="0" xfId="0" applyNumberFormat="1" applyFont="1" applyFill="1" applyBorder="1" applyAlignment="1">
      <alignment horizontal="center" vertical="center"/>
    </xf>
    <xf numFmtId="49" fontId="17" fillId="33" borderId="0" xfId="0" applyNumberFormat="1" applyFont="1" applyFill="1" applyBorder="1" applyAlignment="1">
      <alignment/>
    </xf>
    <xf numFmtId="49" fontId="14" fillId="0" borderId="15" xfId="0" applyNumberFormat="1" applyFont="1" applyFill="1" applyBorder="1" applyAlignment="1">
      <alignment horizontal="center"/>
    </xf>
    <xf numFmtId="49" fontId="13" fillId="0" borderId="0" xfId="0" applyNumberFormat="1" applyFont="1" applyFill="1" applyBorder="1" applyAlignment="1">
      <alignment horizontal="center"/>
    </xf>
    <xf numFmtId="49" fontId="17" fillId="0" borderId="0" xfId="0" applyNumberFormat="1" applyFont="1" applyFill="1" applyAlignment="1">
      <alignment horizontal="center"/>
    </xf>
    <xf numFmtId="0" fontId="7" fillId="0" borderId="17" xfId="0" applyNumberFormat="1" applyFont="1" applyFill="1" applyBorder="1" applyAlignment="1">
      <alignment horizontal="center" vertical="center" wrapText="1"/>
    </xf>
    <xf numFmtId="0" fontId="7" fillId="0" borderId="18" xfId="0" applyNumberFormat="1" applyFont="1" applyFill="1" applyBorder="1" applyAlignment="1">
      <alignment horizontal="center" vertical="center" wrapText="1"/>
    </xf>
    <xf numFmtId="0" fontId="7" fillId="0" borderId="19" xfId="0" applyNumberFormat="1" applyFont="1" applyFill="1" applyBorder="1" applyAlignment="1">
      <alignment horizontal="center" vertical="center" wrapText="1"/>
    </xf>
    <xf numFmtId="0" fontId="7" fillId="0" borderId="14" xfId="0" applyNumberFormat="1" applyFont="1" applyFill="1" applyBorder="1" applyAlignment="1">
      <alignment horizontal="center" vertical="center" wrapText="1"/>
    </xf>
    <xf numFmtId="49" fontId="7" fillId="0" borderId="16" xfId="0" applyNumberFormat="1" applyFont="1" applyFill="1" applyBorder="1" applyAlignment="1">
      <alignment horizontal="center" vertical="distributed" wrapText="1"/>
    </xf>
    <xf numFmtId="0" fontId="4" fillId="0" borderId="20" xfId="0" applyFont="1" applyFill="1" applyBorder="1" applyAlignment="1">
      <alignment horizontal="center" vertical="distributed"/>
    </xf>
    <xf numFmtId="49" fontId="7" fillId="0" borderId="21" xfId="0" applyNumberFormat="1" applyFont="1" applyFill="1" applyBorder="1" applyAlignment="1">
      <alignment horizontal="center" vertical="center" wrapText="1"/>
    </xf>
    <xf numFmtId="49" fontId="7" fillId="0" borderId="20"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0" fontId="4" fillId="0" borderId="22" xfId="0" applyFont="1" applyFill="1" applyBorder="1" applyAlignment="1">
      <alignment/>
    </xf>
    <xf numFmtId="49" fontId="7" fillId="0" borderId="16" xfId="0" applyNumberFormat="1" applyFont="1" applyFill="1" applyBorder="1" applyAlignment="1">
      <alignment horizontal="center" vertical="center" wrapText="1"/>
    </xf>
    <xf numFmtId="49" fontId="12" fillId="0" borderId="0" xfId="0" applyNumberFormat="1" applyFont="1" applyFill="1" applyAlignment="1">
      <alignment horizontal="left" wrapText="1"/>
    </xf>
    <xf numFmtId="49" fontId="6" fillId="0" borderId="16" xfId="0" applyNumberFormat="1" applyFont="1" applyFill="1" applyBorder="1" applyAlignment="1">
      <alignment horizontal="center" vertical="center" wrapText="1"/>
    </xf>
    <xf numFmtId="49" fontId="6" fillId="0" borderId="20" xfId="0" applyNumberFormat="1" applyFont="1" applyFill="1" applyBorder="1" applyAlignment="1">
      <alignment horizontal="center" vertical="center" wrapText="1"/>
    </xf>
    <xf numFmtId="49" fontId="7" fillId="0" borderId="16" xfId="0" applyNumberFormat="1" applyFont="1" applyFill="1" applyBorder="1" applyAlignment="1">
      <alignment horizontal="center"/>
    </xf>
    <xf numFmtId="49" fontId="7" fillId="0" borderId="20" xfId="0" applyNumberFormat="1" applyFont="1" applyFill="1" applyBorder="1" applyAlignment="1">
      <alignment horizontal="center"/>
    </xf>
    <xf numFmtId="49" fontId="14" fillId="0" borderId="0" xfId="0" applyNumberFormat="1" applyFont="1" applyFill="1" applyBorder="1" applyAlignment="1">
      <alignment horizontal="center" wrapText="1"/>
    </xf>
    <xf numFmtId="49" fontId="12" fillId="0" borderId="0" xfId="0" applyNumberFormat="1" applyFont="1" applyFill="1" applyAlignment="1">
      <alignment/>
    </xf>
    <xf numFmtId="49" fontId="0" fillId="0" borderId="0" xfId="0" applyNumberFormat="1" applyFont="1" applyFill="1" applyBorder="1" applyAlignment="1">
      <alignment horizontal="center" wrapText="1"/>
    </xf>
    <xf numFmtId="49" fontId="3" fillId="0" borderId="0" xfId="0" applyNumberFormat="1" applyFont="1" applyFill="1" applyAlignment="1">
      <alignment horizontal="center" wrapText="1"/>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0" fillId="33" borderId="0" xfId="0" applyNumberFormat="1" applyFont="1" applyFill="1" applyBorder="1" applyAlignment="1">
      <alignment wrapText="1"/>
    </xf>
    <xf numFmtId="49" fontId="0" fillId="33" borderId="0" xfId="0" applyNumberFormat="1" applyFont="1" applyFill="1" applyBorder="1" applyAlignment="1">
      <alignment/>
    </xf>
    <xf numFmtId="49" fontId="3" fillId="33" borderId="0" xfId="0" applyNumberFormat="1" applyFont="1" applyFill="1" applyAlignment="1">
      <alignment horizontal="center"/>
    </xf>
    <xf numFmtId="49" fontId="13" fillId="33" borderId="0" xfId="0" applyNumberFormat="1" applyFont="1" applyFill="1" applyBorder="1" applyAlignment="1">
      <alignment horizontal="center" wrapText="1"/>
    </xf>
    <xf numFmtId="49" fontId="13" fillId="33" borderId="0" xfId="0" applyNumberFormat="1" applyFont="1" applyFill="1" applyBorder="1" applyAlignment="1">
      <alignment horizontal="center" vertical="center"/>
    </xf>
    <xf numFmtId="49" fontId="5" fillId="33" borderId="0" xfId="0" applyNumberFormat="1" applyFont="1" applyFill="1" applyAlignment="1">
      <alignment horizontal="left"/>
    </xf>
    <xf numFmtId="49" fontId="4" fillId="33" borderId="0" xfId="0" applyNumberFormat="1" applyFont="1" applyFill="1" applyAlignment="1">
      <alignment horizontal="left"/>
    </xf>
    <xf numFmtId="49" fontId="8" fillId="33" borderId="11" xfId="0" applyNumberFormat="1" applyFont="1" applyFill="1" applyBorder="1" applyAlignment="1">
      <alignment horizontal="center" vertical="center" wrapText="1"/>
    </xf>
    <xf numFmtId="49" fontId="8" fillId="33" borderId="13" xfId="0" applyNumberFormat="1" applyFont="1" applyFill="1" applyBorder="1" applyAlignment="1">
      <alignment horizontal="center" vertical="center" wrapText="1"/>
    </xf>
    <xf numFmtId="49" fontId="17" fillId="33" borderId="0" xfId="0" applyNumberFormat="1" applyFont="1" applyFill="1" applyBorder="1" applyAlignment="1">
      <alignment horizontal="center" vertical="center"/>
    </xf>
    <xf numFmtId="0" fontId="17" fillId="33" borderId="0" xfId="0" applyNumberFormat="1" applyFont="1" applyFill="1" applyBorder="1" applyAlignment="1">
      <alignment horizontal="center" vertical="center"/>
    </xf>
    <xf numFmtId="49" fontId="8" fillId="33" borderId="20" xfId="0" applyNumberFormat="1" applyFont="1" applyFill="1" applyBorder="1" applyAlignment="1" applyProtection="1">
      <alignment horizontal="center" vertical="center" wrapText="1"/>
      <protection/>
    </xf>
    <xf numFmtId="49" fontId="8" fillId="33" borderId="10" xfId="0" applyNumberFormat="1" applyFont="1" applyFill="1" applyBorder="1" applyAlignment="1" applyProtection="1">
      <alignment horizontal="center" vertical="center" wrapText="1"/>
      <protection/>
    </xf>
    <xf numFmtId="49" fontId="8" fillId="33" borderId="10" xfId="0" applyNumberFormat="1" applyFont="1" applyFill="1" applyBorder="1" applyAlignment="1">
      <alignment horizontal="center" vertical="center" wrapText="1"/>
    </xf>
    <xf numFmtId="49" fontId="8" fillId="33" borderId="0" xfId="0" applyNumberFormat="1" applyFont="1" applyFill="1" applyBorder="1" applyAlignment="1" applyProtection="1">
      <alignment horizontal="center" vertical="center" wrapText="1"/>
      <protection/>
    </xf>
    <xf numFmtId="49" fontId="8" fillId="33" borderId="0" xfId="0" applyNumberFormat="1" applyFont="1" applyFill="1" applyBorder="1" applyAlignment="1">
      <alignment horizontal="center" vertical="center" wrapText="1"/>
    </xf>
    <xf numFmtId="49" fontId="8" fillId="33" borderId="11" xfId="0" applyNumberFormat="1" applyFont="1" applyFill="1" applyBorder="1" applyAlignment="1" applyProtection="1">
      <alignment horizontal="center" vertical="center" wrapText="1"/>
      <protection/>
    </xf>
    <xf numFmtId="49" fontId="8" fillId="33" borderId="22" xfId="0" applyNumberFormat="1" applyFont="1" applyFill="1" applyBorder="1" applyAlignment="1">
      <alignment horizontal="center" vertical="center" wrapText="1"/>
    </xf>
    <xf numFmtId="49" fontId="8" fillId="33" borderId="17" xfId="0" applyNumberFormat="1" applyFont="1" applyFill="1" applyBorder="1" applyAlignment="1" applyProtection="1">
      <alignment horizontal="center" vertical="center" wrapText="1"/>
      <protection/>
    </xf>
    <xf numFmtId="49" fontId="8" fillId="33" borderId="18" xfId="0" applyNumberFormat="1" applyFont="1" applyFill="1" applyBorder="1" applyAlignment="1">
      <alignment horizontal="center" vertical="center" wrapText="1"/>
    </xf>
    <xf numFmtId="49" fontId="8" fillId="33" borderId="23" xfId="0" applyNumberFormat="1" applyFont="1" applyFill="1" applyBorder="1" applyAlignment="1">
      <alignment horizontal="center" vertical="center" wrapText="1"/>
    </xf>
    <xf numFmtId="49" fontId="8" fillId="33" borderId="24" xfId="0" applyNumberFormat="1" applyFont="1" applyFill="1" applyBorder="1" applyAlignment="1">
      <alignment horizontal="center" vertical="center" wrapText="1"/>
    </xf>
    <xf numFmtId="49" fontId="8" fillId="33" borderId="15" xfId="0" applyNumberFormat="1" applyFont="1" applyFill="1" applyBorder="1" applyAlignment="1" applyProtection="1">
      <alignment horizontal="center" vertical="center" wrapText="1"/>
      <protection/>
    </xf>
    <xf numFmtId="49" fontId="8" fillId="33" borderId="18" xfId="0" applyNumberFormat="1" applyFont="1" applyFill="1" applyBorder="1" applyAlignment="1" applyProtection="1">
      <alignment horizontal="center" vertical="center" wrapText="1"/>
      <protection/>
    </xf>
    <xf numFmtId="49" fontId="8" fillId="33" borderId="14" xfId="0" applyNumberFormat="1" applyFont="1" applyFill="1" applyBorder="1" applyAlignment="1">
      <alignment horizontal="center" vertical="center" wrapText="1"/>
    </xf>
    <xf numFmtId="49" fontId="8" fillId="33" borderId="16" xfId="0" applyNumberFormat="1" applyFont="1" applyFill="1" applyBorder="1" applyAlignment="1" applyProtection="1">
      <alignment horizontal="center" vertical="center" wrapText="1"/>
      <protection/>
    </xf>
    <xf numFmtId="49" fontId="8" fillId="33" borderId="21" xfId="0" applyNumberFormat="1" applyFont="1" applyFill="1" applyBorder="1" applyAlignment="1" applyProtection="1">
      <alignment horizontal="center" vertical="center" wrapText="1"/>
      <protection/>
    </xf>
    <xf numFmtId="49" fontId="17" fillId="33" borderId="12" xfId="0" applyNumberFormat="1" applyFont="1" applyFill="1" applyBorder="1" applyAlignment="1">
      <alignment/>
    </xf>
    <xf numFmtId="0" fontId="23" fillId="33" borderId="10" xfId="0" applyNumberFormat="1" applyFont="1" applyFill="1" applyBorder="1" applyAlignment="1">
      <alignment horizontal="center" vertical="center" wrapText="1"/>
    </xf>
    <xf numFmtId="49" fontId="23" fillId="33" borderId="16" xfId="0" applyNumberFormat="1" applyFont="1" applyFill="1" applyBorder="1" applyAlignment="1" applyProtection="1">
      <alignment horizontal="center" vertical="center" wrapText="1"/>
      <protection/>
    </xf>
    <xf numFmtId="49" fontId="23" fillId="33" borderId="21" xfId="0" applyNumberFormat="1" applyFont="1" applyFill="1" applyBorder="1" applyAlignment="1">
      <alignment horizontal="center" vertical="center" wrapText="1"/>
    </xf>
    <xf numFmtId="49" fontId="23" fillId="33" borderId="20" xfId="0" applyNumberFormat="1" applyFont="1" applyFill="1" applyBorder="1" applyAlignment="1">
      <alignment horizontal="center" vertical="center" wrapText="1"/>
    </xf>
    <xf numFmtId="49" fontId="8" fillId="33" borderId="17" xfId="0" applyNumberFormat="1" applyFont="1" applyFill="1" applyBorder="1" applyAlignment="1">
      <alignment horizontal="center" vertical="center" wrapText="1"/>
    </xf>
    <xf numFmtId="49" fontId="8" fillId="33" borderId="19" xfId="0" applyNumberFormat="1" applyFont="1" applyFill="1" applyBorder="1" applyAlignment="1">
      <alignment horizontal="center" vertical="center" wrapText="1"/>
    </xf>
    <xf numFmtId="1" fontId="23" fillId="33" borderId="16" xfId="0" applyNumberFormat="1" applyFont="1" applyFill="1" applyBorder="1" applyAlignment="1">
      <alignment horizontal="center" vertical="center"/>
    </xf>
    <xf numFmtId="1" fontId="23" fillId="33" borderId="21" xfId="0" applyNumberFormat="1" applyFont="1" applyFill="1" applyBorder="1" applyAlignment="1">
      <alignment horizontal="center" vertical="center"/>
    </xf>
    <xf numFmtId="1" fontId="23" fillId="33" borderId="20" xfId="0" applyNumberFormat="1" applyFont="1" applyFill="1" applyBorder="1" applyAlignment="1">
      <alignment horizontal="center" vertical="center"/>
    </xf>
    <xf numFmtId="49" fontId="13" fillId="33" borderId="0" xfId="0" applyNumberFormat="1" applyFont="1" applyFill="1" applyAlignment="1">
      <alignment horizontal="center"/>
    </xf>
    <xf numFmtId="49" fontId="0" fillId="33" borderId="0" xfId="0" applyNumberFormat="1" applyFont="1" applyFill="1" applyAlignment="1">
      <alignment horizontal="left"/>
    </xf>
    <xf numFmtId="49" fontId="13" fillId="33" borderId="0" xfId="0" applyNumberFormat="1" applyFont="1" applyFill="1" applyAlignment="1">
      <alignment horizontal="center" wrapText="1"/>
    </xf>
    <xf numFmtId="49" fontId="14" fillId="33" borderId="0" xfId="0" applyNumberFormat="1" applyFont="1" applyFill="1" applyAlignment="1">
      <alignment horizontal="center"/>
    </xf>
    <xf numFmtId="0" fontId="14" fillId="33" borderId="0" xfId="0" applyNumberFormat="1" applyFont="1" applyFill="1" applyAlignment="1">
      <alignment horizontal="center"/>
    </xf>
    <xf numFmtId="49" fontId="30" fillId="33" borderId="0" xfId="0" applyNumberFormat="1" applyFont="1" applyFill="1" applyBorder="1" applyAlignment="1" applyProtection="1">
      <alignment horizontal="center" vertical="center" wrapText="1"/>
      <protection/>
    </xf>
    <xf numFmtId="49" fontId="30" fillId="33" borderId="0" xfId="0" applyNumberFormat="1" applyFont="1" applyFill="1" applyBorder="1" applyAlignment="1">
      <alignment horizontal="center" vertical="center" wrapText="1"/>
    </xf>
    <xf numFmtId="49" fontId="4" fillId="33" borderId="0" xfId="0" applyNumberFormat="1" applyFont="1" applyFill="1" applyBorder="1" applyAlignment="1">
      <alignment horizontal="left" wrapText="1"/>
    </xf>
    <xf numFmtId="49" fontId="3" fillId="33" borderId="0" xfId="0" applyNumberFormat="1" applyFont="1" applyFill="1" applyBorder="1" applyAlignment="1">
      <alignment horizontal="center"/>
    </xf>
    <xf numFmtId="49" fontId="4" fillId="33" borderId="0" xfId="0" applyNumberFormat="1" applyFont="1" applyFill="1" applyBorder="1" applyAlignment="1">
      <alignment horizontal="left"/>
    </xf>
    <xf numFmtId="49" fontId="85" fillId="33" borderId="0" xfId="0" applyNumberFormat="1" applyFont="1" applyFill="1" applyBorder="1" applyAlignment="1" applyProtection="1">
      <alignment horizontal="center" vertical="center" wrapText="1"/>
      <protection/>
    </xf>
    <xf numFmtId="49" fontId="85" fillId="33" borderId="0" xfId="0" applyNumberFormat="1" applyFont="1" applyFill="1" applyBorder="1" applyAlignment="1">
      <alignment horizontal="center" vertical="center" wrapText="1"/>
    </xf>
    <xf numFmtId="49" fontId="86" fillId="33" borderId="0" xfId="0" applyNumberFormat="1" applyFont="1" applyFill="1" applyBorder="1" applyAlignment="1" applyProtection="1">
      <alignment horizontal="center" vertical="center" wrapText="1"/>
      <protection/>
    </xf>
    <xf numFmtId="49" fontId="83" fillId="33" borderId="0" xfId="0" applyNumberFormat="1" applyFont="1" applyFill="1" applyBorder="1" applyAlignment="1" applyProtection="1">
      <alignment horizontal="center" vertical="center"/>
      <protection/>
    </xf>
    <xf numFmtId="49" fontId="22" fillId="33" borderId="0" xfId="0" applyNumberFormat="1" applyFont="1" applyFill="1" applyBorder="1" applyAlignment="1">
      <alignment horizontal="center" vertical="center" wrapText="1"/>
    </xf>
    <xf numFmtId="49" fontId="81" fillId="33" borderId="0" xfId="0" applyNumberFormat="1" applyFont="1" applyFill="1" applyBorder="1" applyAlignment="1" applyProtection="1">
      <alignment horizontal="center" vertical="center" wrapText="1"/>
      <protection/>
    </xf>
    <xf numFmtId="49" fontId="21" fillId="33" borderId="0" xfId="0" applyNumberFormat="1" applyFont="1" applyFill="1" applyBorder="1" applyAlignment="1">
      <alignment horizontal="center" vertical="center"/>
    </xf>
    <xf numFmtId="0" fontId="21" fillId="33" borderId="0" xfId="0" applyNumberFormat="1" applyFont="1" applyFill="1" applyBorder="1" applyAlignment="1">
      <alignment horizontal="center" vertical="center"/>
    </xf>
    <xf numFmtId="49" fontId="22" fillId="33" borderId="0" xfId="0" applyNumberFormat="1" applyFont="1" applyFill="1" applyBorder="1" applyAlignment="1" applyProtection="1">
      <alignment horizontal="center" vertical="center" wrapText="1"/>
      <protection/>
    </xf>
    <xf numFmtId="49" fontId="87" fillId="33" borderId="0" xfId="0" applyNumberFormat="1" applyFont="1" applyFill="1" applyBorder="1" applyAlignment="1" applyProtection="1">
      <alignment horizontal="center" vertical="center" wrapText="1"/>
      <protection/>
    </xf>
    <xf numFmtId="0" fontId="7" fillId="33" borderId="0" xfId="0" applyNumberFormat="1" applyFont="1" applyFill="1" applyBorder="1" applyAlignment="1">
      <alignment horizontal="center" vertical="center" wrapText="1"/>
    </xf>
    <xf numFmtId="49" fontId="11" fillId="33" borderId="0" xfId="0" applyNumberFormat="1" applyFont="1" applyFill="1" applyBorder="1" applyAlignment="1" applyProtection="1">
      <alignment horizontal="center" vertical="center" wrapText="1"/>
      <protection/>
    </xf>
    <xf numFmtId="49" fontId="11" fillId="33" borderId="0" xfId="0" applyNumberFormat="1" applyFont="1" applyFill="1" applyBorder="1" applyAlignment="1">
      <alignment horizontal="center" vertical="center" wrapText="1"/>
    </xf>
    <xf numFmtId="49" fontId="17" fillId="33" borderId="0" xfId="0" applyNumberFormat="1" applyFont="1" applyFill="1" applyBorder="1" applyAlignment="1">
      <alignment/>
    </xf>
    <xf numFmtId="49" fontId="22" fillId="33" borderId="11" xfId="0" applyNumberFormat="1" applyFont="1" applyFill="1" applyBorder="1" applyAlignment="1">
      <alignment horizontal="center" vertical="center" wrapText="1"/>
    </xf>
    <xf numFmtId="49" fontId="22" fillId="33" borderId="13" xfId="0" applyNumberFormat="1" applyFont="1" applyFill="1" applyBorder="1" applyAlignment="1">
      <alignment horizontal="center" vertical="center" wrapText="1"/>
    </xf>
    <xf numFmtId="49" fontId="22" fillId="33" borderId="18" xfId="0" applyNumberFormat="1" applyFont="1" applyFill="1" applyBorder="1" applyAlignment="1">
      <alignment horizontal="center" vertical="center" wrapText="1"/>
    </xf>
    <xf numFmtId="49" fontId="22" fillId="33" borderId="14" xfId="0" applyNumberFormat="1" applyFont="1" applyFill="1" applyBorder="1" applyAlignment="1">
      <alignment horizontal="center" vertical="center" wrapText="1"/>
    </xf>
    <xf numFmtId="49" fontId="22" fillId="33" borderId="24" xfId="0" applyNumberFormat="1" applyFont="1" applyFill="1" applyBorder="1" applyAlignment="1">
      <alignment horizontal="center" vertical="center" wrapText="1"/>
    </xf>
    <xf numFmtId="1" fontId="6" fillId="33" borderId="0" xfId="0" applyNumberFormat="1" applyFont="1" applyFill="1" applyBorder="1" applyAlignment="1">
      <alignment horizontal="center" vertical="center"/>
    </xf>
    <xf numFmtId="49" fontId="13" fillId="33" borderId="0" xfId="0" applyNumberFormat="1" applyFont="1" applyFill="1" applyBorder="1" applyAlignment="1">
      <alignment horizontal="center"/>
    </xf>
    <xf numFmtId="49" fontId="0" fillId="33" borderId="0" xfId="0" applyNumberFormat="1" applyFont="1" applyFill="1" applyBorder="1" applyAlignment="1">
      <alignment horizontal="left"/>
    </xf>
    <xf numFmtId="49" fontId="14" fillId="33" borderId="0" xfId="0" applyNumberFormat="1" applyFont="1" applyFill="1" applyBorder="1" applyAlignment="1">
      <alignment horizontal="center"/>
    </xf>
    <xf numFmtId="49" fontId="22" fillId="33" borderId="11" xfId="0" applyNumberFormat="1" applyFont="1" applyFill="1" applyBorder="1" applyAlignment="1" applyProtection="1">
      <alignment horizontal="center" vertical="center" wrapText="1"/>
      <protection/>
    </xf>
    <xf numFmtId="49" fontId="22" fillId="33" borderId="22" xfId="0" applyNumberFormat="1" applyFont="1" applyFill="1" applyBorder="1" applyAlignment="1">
      <alignment horizontal="center" vertical="center" wrapText="1"/>
    </xf>
    <xf numFmtId="0" fontId="7" fillId="33" borderId="17" xfId="0" applyNumberFormat="1" applyFont="1" applyFill="1" applyBorder="1" applyAlignment="1">
      <alignment horizontal="center" vertical="center" wrapText="1"/>
    </xf>
    <xf numFmtId="0" fontId="7" fillId="33" borderId="18" xfId="0" applyNumberFormat="1" applyFont="1" applyFill="1" applyBorder="1" applyAlignment="1">
      <alignment horizontal="center" vertical="center" wrapText="1"/>
    </xf>
    <xf numFmtId="0" fontId="7" fillId="33" borderId="19" xfId="0" applyNumberFormat="1" applyFont="1" applyFill="1" applyBorder="1" applyAlignment="1">
      <alignment horizontal="center" vertical="center" wrapText="1"/>
    </xf>
    <xf numFmtId="0" fontId="7" fillId="33" borderId="14" xfId="0" applyNumberFormat="1" applyFont="1" applyFill="1" applyBorder="1" applyAlignment="1">
      <alignment horizontal="center" vertical="center" wrapText="1"/>
    </xf>
    <xf numFmtId="0" fontId="7" fillId="33" borderId="23" xfId="0" applyNumberFormat="1" applyFont="1" applyFill="1" applyBorder="1" applyAlignment="1">
      <alignment horizontal="center" vertical="center" wrapText="1"/>
    </xf>
    <xf numFmtId="0" fontId="7" fillId="33" borderId="24" xfId="0" applyNumberFormat="1" applyFont="1" applyFill="1" applyBorder="1" applyAlignment="1">
      <alignment horizontal="center" vertical="center" wrapText="1"/>
    </xf>
    <xf numFmtId="49" fontId="22" fillId="33" borderId="17" xfId="0" applyNumberFormat="1" applyFont="1" applyFill="1" applyBorder="1" applyAlignment="1">
      <alignment horizontal="center" vertical="center" wrapText="1"/>
    </xf>
    <xf numFmtId="49" fontId="22" fillId="33" borderId="19" xfId="0" applyNumberFormat="1" applyFont="1" applyFill="1" applyBorder="1" applyAlignment="1">
      <alignment horizontal="center" vertical="center" wrapText="1"/>
    </xf>
    <xf numFmtId="49" fontId="22" fillId="33" borderId="23" xfId="0" applyNumberFormat="1" applyFont="1" applyFill="1" applyBorder="1" applyAlignment="1">
      <alignment horizontal="center" vertical="center" wrapText="1"/>
    </xf>
    <xf numFmtId="49" fontId="22" fillId="33" borderId="16" xfId="0" applyNumberFormat="1" applyFont="1" applyFill="1" applyBorder="1" applyAlignment="1" applyProtection="1">
      <alignment horizontal="center" vertical="center" wrapText="1"/>
      <protection/>
    </xf>
    <xf numFmtId="49" fontId="22" fillId="33" borderId="21" xfId="0" applyNumberFormat="1" applyFont="1" applyFill="1" applyBorder="1" applyAlignment="1" applyProtection="1">
      <alignment horizontal="center" vertical="center" wrapText="1"/>
      <protection/>
    </xf>
    <xf numFmtId="49" fontId="22" fillId="33" borderId="20" xfId="0" applyNumberFormat="1" applyFont="1" applyFill="1" applyBorder="1" applyAlignment="1" applyProtection="1">
      <alignment horizontal="center" vertical="center" wrapText="1"/>
      <protection/>
    </xf>
    <xf numFmtId="49" fontId="22" fillId="33" borderId="10" xfId="0" applyNumberFormat="1" applyFont="1" applyFill="1" applyBorder="1" applyAlignment="1" applyProtection="1">
      <alignment horizontal="center" vertical="center" wrapText="1"/>
      <protection/>
    </xf>
    <xf numFmtId="49" fontId="22" fillId="33" borderId="10" xfId="0" applyNumberFormat="1" applyFont="1" applyFill="1" applyBorder="1" applyAlignment="1">
      <alignment horizontal="center" vertical="center" wrapText="1"/>
    </xf>
    <xf numFmtId="49" fontId="22" fillId="33" borderId="17" xfId="0" applyNumberFormat="1" applyFont="1" applyFill="1" applyBorder="1" applyAlignment="1" applyProtection="1">
      <alignment horizontal="center" vertical="center" wrapText="1"/>
      <protection/>
    </xf>
    <xf numFmtId="49" fontId="4" fillId="33" borderId="0" xfId="0" applyNumberFormat="1" applyFont="1" applyFill="1" applyAlignment="1">
      <alignment horizontal="left" wrapText="1"/>
    </xf>
    <xf numFmtId="1" fontId="6" fillId="33" borderId="16" xfId="0" applyNumberFormat="1" applyFont="1" applyFill="1" applyBorder="1" applyAlignment="1">
      <alignment horizontal="center" vertical="center"/>
    </xf>
    <xf numFmtId="1" fontId="6" fillId="33" borderId="21" xfId="0" applyNumberFormat="1" applyFont="1" applyFill="1" applyBorder="1" applyAlignment="1">
      <alignment horizontal="center" vertical="center"/>
    </xf>
    <xf numFmtId="1" fontId="6" fillId="33" borderId="20" xfId="0" applyNumberFormat="1" applyFont="1" applyFill="1" applyBorder="1" applyAlignment="1">
      <alignment horizontal="center" vertical="center"/>
    </xf>
    <xf numFmtId="49" fontId="22" fillId="33" borderId="15" xfId="0" applyNumberFormat="1" applyFont="1" applyFill="1" applyBorder="1" applyAlignment="1" applyProtection="1">
      <alignment horizontal="center" vertical="center" wrapText="1"/>
      <protection/>
    </xf>
    <xf numFmtId="49" fontId="22" fillId="33" borderId="18" xfId="0" applyNumberFormat="1" applyFont="1" applyFill="1" applyBorder="1" applyAlignment="1" applyProtection="1">
      <alignment horizontal="center" vertical="center" wrapText="1"/>
      <protection/>
    </xf>
    <xf numFmtId="49" fontId="0" fillId="33" borderId="12" xfId="0" applyNumberFormat="1" applyFont="1" applyFill="1" applyBorder="1" applyAlignment="1">
      <alignment/>
    </xf>
    <xf numFmtId="49" fontId="11" fillId="33" borderId="16" xfId="0" applyNumberFormat="1" applyFont="1" applyFill="1" applyBorder="1" applyAlignment="1" applyProtection="1">
      <alignment horizontal="center" vertical="center" wrapText="1"/>
      <protection/>
    </xf>
    <xf numFmtId="49" fontId="11" fillId="33" borderId="21" xfId="0" applyNumberFormat="1" applyFont="1" applyFill="1" applyBorder="1" applyAlignment="1">
      <alignment horizontal="center" vertical="center" wrapText="1"/>
    </xf>
    <xf numFmtId="49" fontId="11" fillId="33" borderId="20" xfId="0" applyNumberFormat="1" applyFont="1" applyFill="1" applyBorder="1" applyAlignment="1">
      <alignment horizontal="center" vertical="center" wrapText="1"/>
    </xf>
    <xf numFmtId="186" fontId="79" fillId="33" borderId="0" xfId="67" applyNumberFormat="1" applyFont="1" applyFill="1" applyBorder="1" applyAlignment="1" applyProtection="1">
      <alignment horizontal="center" vertical="center"/>
      <protection/>
    </xf>
    <xf numFmtId="49" fontId="28" fillId="33" borderId="0" xfId="0" applyNumberFormat="1" applyFont="1" applyFill="1" applyBorder="1" applyAlignment="1">
      <alignment/>
    </xf>
    <xf numFmtId="3" fontId="79" fillId="33" borderId="0" xfId="0" applyNumberFormat="1" applyFont="1" applyFill="1" applyBorder="1" applyAlignment="1">
      <alignment horizontal="center"/>
    </xf>
    <xf numFmtId="0" fontId="77" fillId="33" borderId="0" xfId="0" applyNumberFormat="1" applyFont="1" applyFill="1" applyBorder="1" applyAlignment="1">
      <alignment horizontal="center"/>
    </xf>
    <xf numFmtId="49" fontId="5" fillId="33" borderId="0" xfId="0" applyNumberFormat="1" applyFont="1" applyFill="1" applyBorder="1" applyAlignment="1">
      <alignment/>
    </xf>
    <xf numFmtId="49" fontId="11" fillId="33" borderId="10" xfId="0" applyNumberFormat="1" applyFont="1" applyFill="1" applyBorder="1" applyAlignment="1" applyProtection="1">
      <alignment vertical="center"/>
      <protection/>
    </xf>
    <xf numFmtId="49" fontId="32" fillId="33" borderId="10" xfId="0" applyNumberFormat="1" applyFont="1" applyFill="1" applyBorder="1" applyAlignment="1" applyProtection="1">
      <alignment horizontal="center" vertical="center"/>
      <protection/>
    </xf>
    <xf numFmtId="49" fontId="32" fillId="33" borderId="10" xfId="0" applyNumberFormat="1" applyFont="1" applyFill="1" applyBorder="1" applyAlignment="1" applyProtection="1">
      <alignment vertical="center"/>
      <protection/>
    </xf>
    <xf numFmtId="193" fontId="22" fillId="33" borderId="17" xfId="0" applyNumberFormat="1" applyFont="1" applyFill="1" applyBorder="1" applyAlignment="1">
      <alignment vertical="center"/>
    </xf>
    <xf numFmtId="186" fontId="22" fillId="33" borderId="10" xfId="0" applyNumberFormat="1" applyFont="1" applyFill="1" applyBorder="1" applyAlignment="1" applyProtection="1">
      <alignment horizontal="right"/>
      <protection/>
    </xf>
    <xf numFmtId="186" fontId="22" fillId="33" borderId="10" xfId="0" applyNumberFormat="1" applyFont="1" applyFill="1" applyBorder="1" applyAlignment="1">
      <alignment horizontal="right"/>
    </xf>
    <xf numFmtId="186" fontId="22" fillId="33" borderId="10" xfId="67" applyNumberFormat="1" applyFont="1" applyFill="1" applyBorder="1" applyAlignment="1" applyProtection="1">
      <alignment horizontal="right"/>
      <protection/>
    </xf>
    <xf numFmtId="186" fontId="22" fillId="33" borderId="10" xfId="0" applyNumberFormat="1" applyFont="1" applyFill="1" applyBorder="1" applyAlignment="1">
      <alignment vertical="center"/>
    </xf>
    <xf numFmtId="49" fontId="22" fillId="33" borderId="10" xfId="60" applyNumberFormat="1" applyFont="1" applyFill="1" applyBorder="1" applyAlignment="1" applyProtection="1">
      <alignment vertical="center"/>
      <protection/>
    </xf>
    <xf numFmtId="186" fontId="22" fillId="33" borderId="10" xfId="60" applyNumberFormat="1" applyFont="1" applyFill="1" applyBorder="1" applyAlignment="1" applyProtection="1">
      <alignment vertical="center"/>
      <protection/>
    </xf>
    <xf numFmtId="0" fontId="22" fillId="33" borderId="10" xfId="60" applyFont="1" applyFill="1" applyBorder="1" applyAlignment="1">
      <alignment vertical="center"/>
      <protection/>
    </xf>
    <xf numFmtId="49" fontId="22" fillId="33" borderId="10" xfId="60" applyNumberFormat="1" applyFont="1" applyFill="1" applyBorder="1" applyAlignment="1">
      <alignment vertical="center"/>
      <protection/>
    </xf>
    <xf numFmtId="37" fontId="22" fillId="33" borderId="10" xfId="63" applyNumberFormat="1" applyFont="1" applyFill="1" applyBorder="1" applyAlignment="1" applyProtection="1">
      <alignment horizontal="center" vertical="center"/>
      <protection/>
    </xf>
    <xf numFmtId="37" fontId="22" fillId="33" borderId="10" xfId="63" applyNumberFormat="1" applyFont="1" applyFill="1" applyBorder="1" applyAlignment="1">
      <alignment horizontal="center"/>
      <protection/>
    </xf>
    <xf numFmtId="0" fontId="22" fillId="33" borderId="10" xfId="0" applyNumberFormat="1" applyFont="1" applyFill="1" applyBorder="1" applyAlignment="1" applyProtection="1">
      <alignment vertical="center"/>
      <protection/>
    </xf>
    <xf numFmtId="1" fontId="22" fillId="33" borderId="10" xfId="0" applyNumberFormat="1" applyFont="1" applyFill="1" applyBorder="1" applyAlignment="1" applyProtection="1">
      <alignment vertical="center"/>
      <protection/>
    </xf>
    <xf numFmtId="1" fontId="22" fillId="33" borderId="10" xfId="67" applyNumberFormat="1" applyFont="1" applyFill="1" applyBorder="1" applyAlignment="1" applyProtection="1">
      <alignment vertical="center"/>
      <protection/>
    </xf>
    <xf numFmtId="49" fontId="28" fillId="33" borderId="10" xfId="0" applyNumberFormat="1" applyFont="1" applyFill="1" applyBorder="1" applyAlignment="1">
      <alignment vertical="center"/>
    </xf>
    <xf numFmtId="49" fontId="28" fillId="33" borderId="10" xfId="0" applyNumberFormat="1" applyFont="1" applyFill="1" applyBorder="1" applyAlignment="1" applyProtection="1">
      <alignment horizontal="left" vertical="center"/>
      <protection/>
    </xf>
    <xf numFmtId="186" fontId="28" fillId="33" borderId="10" xfId="44" applyNumberFormat="1" applyFont="1" applyFill="1" applyBorder="1" applyAlignment="1">
      <alignment horizontal="center" vertical="center"/>
    </xf>
    <xf numFmtId="49" fontId="28" fillId="33" borderId="10" xfId="61" applyNumberFormat="1" applyFont="1" applyFill="1" applyBorder="1" applyAlignment="1" applyProtection="1">
      <alignment vertical="center"/>
      <protection/>
    </xf>
    <xf numFmtId="186" fontId="28" fillId="33" borderId="10" xfId="61" applyNumberFormat="1" applyFont="1" applyFill="1" applyBorder="1" applyAlignment="1" applyProtection="1">
      <alignment horizontal="right" vertical="center"/>
      <protection/>
    </xf>
    <xf numFmtId="0" fontId="28" fillId="33" borderId="10" xfId="61" applyFont="1" applyFill="1" applyBorder="1" applyAlignment="1">
      <alignment horizontal="left" vertical="center"/>
      <protection/>
    </xf>
    <xf numFmtId="49" fontId="28" fillId="33" borderId="10" xfId="61" applyNumberFormat="1" applyFont="1" applyFill="1" applyBorder="1">
      <alignment/>
      <protection/>
    </xf>
    <xf numFmtId="3" fontId="28" fillId="33" borderId="10" xfId="62" applyNumberFormat="1" applyFont="1" applyFill="1" applyBorder="1" applyAlignment="1" applyProtection="1">
      <alignment horizontal="center" vertical="center"/>
      <protection/>
    </xf>
    <xf numFmtId="3" fontId="28" fillId="33" borderId="10" xfId="62" applyNumberFormat="1" applyFont="1" applyFill="1" applyBorder="1" applyAlignment="1">
      <alignment horizontal="center"/>
      <protection/>
    </xf>
    <xf numFmtId="0" fontId="28" fillId="33" borderId="10" xfId="0" applyNumberFormat="1" applyFont="1" applyFill="1" applyBorder="1" applyAlignment="1" applyProtection="1">
      <alignment vertical="center"/>
      <protection/>
    </xf>
    <xf numFmtId="41" fontId="28" fillId="33" borderId="10" xfId="0" applyNumberFormat="1" applyFont="1" applyFill="1" applyBorder="1" applyAlignment="1" applyProtection="1">
      <alignment vertical="center"/>
      <protection/>
    </xf>
    <xf numFmtId="186" fontId="28" fillId="33" borderId="10" xfId="44" applyNumberFormat="1" applyFont="1" applyFill="1" applyBorder="1" applyAlignment="1" applyProtection="1">
      <alignment vertical="center"/>
      <protection/>
    </xf>
    <xf numFmtId="49" fontId="19" fillId="33" borderId="10" xfId="0" applyNumberFormat="1" applyFont="1" applyFill="1" applyBorder="1" applyAlignment="1" applyProtection="1">
      <alignment horizontal="center" vertical="center" wrapText="1"/>
      <protection/>
    </xf>
    <xf numFmtId="49" fontId="25" fillId="33" borderId="10" xfId="0" applyNumberFormat="1" applyFont="1" applyFill="1" applyBorder="1" applyAlignment="1" applyProtection="1">
      <alignment horizontal="center" vertical="center"/>
      <protection/>
    </xf>
    <xf numFmtId="49" fontId="25" fillId="33" borderId="0" xfId="0" applyNumberFormat="1" applyFont="1" applyFill="1" applyBorder="1" applyAlignment="1" applyProtection="1">
      <alignment horizontal="center" vertical="center"/>
      <protection/>
    </xf>
    <xf numFmtId="49" fontId="32" fillId="33" borderId="16" xfId="0" applyNumberFormat="1" applyFont="1" applyFill="1" applyBorder="1" applyAlignment="1" applyProtection="1">
      <alignment horizontal="center" vertical="center" wrapText="1"/>
      <protection/>
    </xf>
    <xf numFmtId="49" fontId="32" fillId="33" borderId="20" xfId="0" applyNumberFormat="1" applyFont="1" applyFill="1" applyBorder="1" applyAlignment="1" applyProtection="1">
      <alignment horizontal="center" vertical="center" wrapText="1"/>
      <protection/>
    </xf>
    <xf numFmtId="186" fontId="0" fillId="33" borderId="0" xfId="0" applyNumberFormat="1" applyFont="1" applyFill="1" applyAlignment="1">
      <alignment/>
    </xf>
    <xf numFmtId="193" fontId="32" fillId="33" borderId="0" xfId="0" applyNumberFormat="1" applyFont="1" applyFill="1" applyBorder="1" applyAlignment="1">
      <alignment vertical="center"/>
    </xf>
    <xf numFmtId="186" fontId="28" fillId="33" borderId="0" xfId="0" applyNumberFormat="1" applyFont="1" applyFill="1" applyBorder="1" applyAlignment="1">
      <alignment horizontal="center" vertical="center"/>
    </xf>
    <xf numFmtId="186" fontId="8" fillId="33" borderId="0" xfId="0" applyNumberFormat="1" applyFont="1" applyFill="1" applyAlignment="1">
      <alignment/>
    </xf>
    <xf numFmtId="186" fontId="28" fillId="33" borderId="10" xfId="0" applyNumberFormat="1" applyFont="1" applyFill="1" applyBorder="1" applyAlignment="1">
      <alignment horizontal="center"/>
    </xf>
    <xf numFmtId="3" fontId="28" fillId="33" borderId="10" xfId="0" applyNumberFormat="1" applyFont="1" applyFill="1" applyBorder="1" applyAlignment="1" applyProtection="1">
      <alignment horizontal="center" vertical="center"/>
      <protection/>
    </xf>
    <xf numFmtId="3" fontId="28" fillId="33" borderId="11" xfId="0" applyNumberFormat="1" applyFont="1" applyFill="1" applyBorder="1" applyAlignment="1" applyProtection="1">
      <alignment horizontal="center" vertical="center"/>
      <protection/>
    </xf>
    <xf numFmtId="186" fontId="28" fillId="33" borderId="10" xfId="44" applyNumberFormat="1" applyFont="1" applyFill="1" applyBorder="1" applyAlignment="1">
      <alignment/>
    </xf>
    <xf numFmtId="49" fontId="19" fillId="33" borderId="16" xfId="0" applyNumberFormat="1" applyFont="1" applyFill="1" applyBorder="1" applyAlignment="1" applyProtection="1">
      <alignment horizontal="center" vertical="center" wrapText="1"/>
      <protection/>
    </xf>
    <xf numFmtId="49" fontId="19" fillId="33" borderId="20" xfId="0" applyNumberFormat="1" applyFont="1" applyFill="1" applyBorder="1" applyAlignment="1" applyProtection="1">
      <alignment horizontal="center" vertical="center" wrapText="1"/>
      <protection/>
    </xf>
    <xf numFmtId="49" fontId="25" fillId="33" borderId="16" xfId="0" applyNumberFormat="1" applyFont="1" applyFill="1" applyBorder="1" applyAlignment="1" applyProtection="1">
      <alignment horizontal="center" vertical="center"/>
      <protection/>
    </xf>
    <xf numFmtId="49" fontId="11" fillId="33" borderId="17" xfId="0" applyNumberFormat="1" applyFont="1" applyFill="1" applyBorder="1" applyAlignment="1" applyProtection="1">
      <alignment vertical="center" wrapText="1"/>
      <protection/>
    </xf>
    <xf numFmtId="49" fontId="11" fillId="33" borderId="18" xfId="0" applyNumberFormat="1" applyFont="1" applyFill="1" applyBorder="1" applyAlignment="1" applyProtection="1">
      <alignmen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rmal 3" xfId="61"/>
    <cellStyle name="Normal_MAU 7" xfId="62"/>
    <cellStyle name="Normal_Sheet1" xfId="63"/>
    <cellStyle name="Note" xfId="64"/>
    <cellStyle name="Output" xfId="65"/>
    <cellStyle name="Percent" xfId="66"/>
    <cellStyle name="Percent 2" xfId="67"/>
    <cellStyle name="Percent 3" xfId="68"/>
    <cellStyle name="Percent 4"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28600"/>
    <xdr:sp fLocksText="0">
      <xdr:nvSpPr>
        <xdr:cNvPr id="1" name="Text Box 1"/>
        <xdr:cNvSpPr txBox="1">
          <a:spLocks noChangeArrowheads="1"/>
        </xdr:cNvSpPr>
      </xdr:nvSpPr>
      <xdr:spPr>
        <a:xfrm>
          <a:off x="1085850" y="2095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2" name="Text Box 1"/>
        <xdr:cNvSpPr txBox="1">
          <a:spLocks noChangeArrowheads="1"/>
        </xdr:cNvSpPr>
      </xdr:nvSpPr>
      <xdr:spPr>
        <a:xfrm>
          <a:off x="1085850" y="2095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112</xdr:row>
      <xdr:rowOff>0</xdr:rowOff>
    </xdr:from>
    <xdr:ext cx="85725" cy="228600"/>
    <xdr:sp fLocksText="0">
      <xdr:nvSpPr>
        <xdr:cNvPr id="3" name="Text Box 1"/>
        <xdr:cNvSpPr txBox="1">
          <a:spLocks noChangeArrowheads="1"/>
        </xdr:cNvSpPr>
      </xdr:nvSpPr>
      <xdr:spPr>
        <a:xfrm>
          <a:off x="1085850" y="226504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112</xdr:row>
      <xdr:rowOff>0</xdr:rowOff>
    </xdr:from>
    <xdr:ext cx="85725" cy="228600"/>
    <xdr:sp fLocksText="0">
      <xdr:nvSpPr>
        <xdr:cNvPr id="4" name="Text Box 1"/>
        <xdr:cNvSpPr txBox="1">
          <a:spLocks noChangeArrowheads="1"/>
        </xdr:cNvSpPr>
      </xdr:nvSpPr>
      <xdr:spPr>
        <a:xfrm>
          <a:off x="1085850" y="226504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53352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53352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89</xdr:row>
      <xdr:rowOff>0</xdr:rowOff>
    </xdr:from>
    <xdr:ext cx="85725" cy="238125"/>
    <xdr:sp fLocksText="0">
      <xdr:nvSpPr>
        <xdr:cNvPr id="3" name="Text Box 1"/>
        <xdr:cNvSpPr txBox="1">
          <a:spLocks noChangeArrowheads="1"/>
        </xdr:cNvSpPr>
      </xdr:nvSpPr>
      <xdr:spPr>
        <a:xfrm>
          <a:off x="1533525" y="20612100"/>
          <a:ext cx="85725"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89</xdr:row>
      <xdr:rowOff>0</xdr:rowOff>
    </xdr:from>
    <xdr:ext cx="85725" cy="238125"/>
    <xdr:sp fLocksText="0">
      <xdr:nvSpPr>
        <xdr:cNvPr id="4" name="Text Box 1"/>
        <xdr:cNvSpPr txBox="1">
          <a:spLocks noChangeArrowheads="1"/>
        </xdr:cNvSpPr>
      </xdr:nvSpPr>
      <xdr:spPr>
        <a:xfrm>
          <a:off x="1533525" y="20612100"/>
          <a:ext cx="85725"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40</xdr:col>
      <xdr:colOff>0</xdr:colOff>
      <xdr:row>1</xdr:row>
      <xdr:rowOff>0</xdr:rowOff>
    </xdr:from>
    <xdr:ext cx="85725" cy="247650"/>
    <xdr:sp fLocksText="0">
      <xdr:nvSpPr>
        <xdr:cNvPr id="5" name="Text Box 1"/>
        <xdr:cNvSpPr txBox="1">
          <a:spLocks noChangeArrowheads="1"/>
        </xdr:cNvSpPr>
      </xdr:nvSpPr>
      <xdr:spPr>
        <a:xfrm>
          <a:off x="223266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40</xdr:col>
      <xdr:colOff>0</xdr:colOff>
      <xdr:row>1</xdr:row>
      <xdr:rowOff>0</xdr:rowOff>
    </xdr:from>
    <xdr:ext cx="85725" cy="247650"/>
    <xdr:sp fLocksText="0">
      <xdr:nvSpPr>
        <xdr:cNvPr id="6" name="Text Box 1"/>
        <xdr:cNvSpPr txBox="1">
          <a:spLocks noChangeArrowheads="1"/>
        </xdr:cNvSpPr>
      </xdr:nvSpPr>
      <xdr:spPr>
        <a:xfrm>
          <a:off x="223266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40</xdr:col>
      <xdr:colOff>0</xdr:colOff>
      <xdr:row>89</xdr:row>
      <xdr:rowOff>0</xdr:rowOff>
    </xdr:from>
    <xdr:ext cx="85725" cy="238125"/>
    <xdr:sp fLocksText="0">
      <xdr:nvSpPr>
        <xdr:cNvPr id="7" name="Text Box 1"/>
        <xdr:cNvSpPr txBox="1">
          <a:spLocks noChangeArrowheads="1"/>
        </xdr:cNvSpPr>
      </xdr:nvSpPr>
      <xdr:spPr>
        <a:xfrm>
          <a:off x="22326600" y="20612100"/>
          <a:ext cx="85725"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40</xdr:col>
      <xdr:colOff>0</xdr:colOff>
      <xdr:row>89</xdr:row>
      <xdr:rowOff>0</xdr:rowOff>
    </xdr:from>
    <xdr:ext cx="85725" cy="238125"/>
    <xdr:sp fLocksText="0">
      <xdr:nvSpPr>
        <xdr:cNvPr id="8" name="Text Box 1"/>
        <xdr:cNvSpPr txBox="1">
          <a:spLocks noChangeArrowheads="1"/>
        </xdr:cNvSpPr>
      </xdr:nvSpPr>
      <xdr:spPr>
        <a:xfrm>
          <a:off x="22326600" y="20612100"/>
          <a:ext cx="85725"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149" t="s">
        <v>15</v>
      </c>
      <c r="B1" s="149"/>
      <c r="C1" s="148" t="s">
        <v>54</v>
      </c>
      <c r="D1" s="148"/>
      <c r="E1" s="148"/>
      <c r="F1" s="150" t="s">
        <v>50</v>
      </c>
      <c r="G1" s="150"/>
      <c r="H1" s="150"/>
    </row>
    <row r="2" spans="1:8" ht="33.75" customHeight="1">
      <c r="A2" s="151" t="s">
        <v>57</v>
      </c>
      <c r="B2" s="151"/>
      <c r="C2" s="148"/>
      <c r="D2" s="148"/>
      <c r="E2" s="148"/>
      <c r="F2" s="147" t="s">
        <v>51</v>
      </c>
      <c r="G2" s="147"/>
      <c r="H2" s="147"/>
    </row>
    <row r="3" spans="1:8" ht="19.5" customHeight="1">
      <c r="A3" s="4" t="s">
        <v>45</v>
      </c>
      <c r="B3" s="4"/>
      <c r="C3" s="22"/>
      <c r="D3" s="22"/>
      <c r="E3" s="22"/>
      <c r="F3" s="147" t="s">
        <v>52</v>
      </c>
      <c r="G3" s="147"/>
      <c r="H3" s="147"/>
    </row>
    <row r="4" spans="1:8" s="5" customFormat="1" ht="19.5" customHeight="1">
      <c r="A4" s="4"/>
      <c r="B4" s="4"/>
      <c r="D4" s="6"/>
      <c r="F4" s="7" t="s">
        <v>53</v>
      </c>
      <c r="G4" s="7"/>
      <c r="H4" s="7"/>
    </row>
    <row r="5" spans="1:8" s="21" customFormat="1" ht="36" customHeight="1">
      <c r="A5" s="129" t="s">
        <v>38</v>
      </c>
      <c r="B5" s="130"/>
      <c r="C5" s="133" t="s">
        <v>48</v>
      </c>
      <c r="D5" s="134"/>
      <c r="E5" s="135" t="s">
        <v>47</v>
      </c>
      <c r="F5" s="135"/>
      <c r="G5" s="135"/>
      <c r="H5" s="136"/>
    </row>
    <row r="6" spans="1:8" s="21" customFormat="1" ht="20.25" customHeight="1">
      <c r="A6" s="131"/>
      <c r="B6" s="132"/>
      <c r="C6" s="137" t="s">
        <v>2</v>
      </c>
      <c r="D6" s="137" t="s">
        <v>55</v>
      </c>
      <c r="E6" s="139" t="s">
        <v>49</v>
      </c>
      <c r="F6" s="136"/>
      <c r="G6" s="139" t="s">
        <v>56</v>
      </c>
      <c r="H6" s="136"/>
    </row>
    <row r="7" spans="1:8" s="21" customFormat="1" ht="52.5" customHeight="1">
      <c r="A7" s="131"/>
      <c r="B7" s="132"/>
      <c r="C7" s="138"/>
      <c r="D7" s="138"/>
      <c r="E7" s="3" t="s">
        <v>2</v>
      </c>
      <c r="F7" s="3" t="s">
        <v>7</v>
      </c>
      <c r="G7" s="3" t="s">
        <v>2</v>
      </c>
      <c r="H7" s="3" t="s">
        <v>7</v>
      </c>
    </row>
    <row r="8" spans="1:8" ht="15" customHeight="1">
      <c r="A8" s="141" t="s">
        <v>4</v>
      </c>
      <c r="B8" s="142"/>
      <c r="C8" s="8">
        <v>1</v>
      </c>
      <c r="D8" s="8" t="s">
        <v>27</v>
      </c>
      <c r="E8" s="8" t="s">
        <v>32</v>
      </c>
      <c r="F8" s="8" t="s">
        <v>39</v>
      </c>
      <c r="G8" s="8" t="s">
        <v>40</v>
      </c>
      <c r="H8" s="8" t="s">
        <v>41</v>
      </c>
    </row>
    <row r="9" spans="1:8" ht="26.25" customHeight="1">
      <c r="A9" s="143" t="s">
        <v>20</v>
      </c>
      <c r="B9" s="144"/>
      <c r="C9" s="8"/>
      <c r="D9" s="8"/>
      <c r="E9" s="8"/>
      <c r="F9" s="8"/>
      <c r="G9" s="8"/>
      <c r="H9" s="8"/>
    </row>
    <row r="10" spans="1:8" ht="24.75" customHeight="1">
      <c r="A10" s="9" t="s">
        <v>0</v>
      </c>
      <c r="B10" s="10" t="s">
        <v>8</v>
      </c>
      <c r="C10" s="2"/>
      <c r="D10" s="11"/>
      <c r="E10" s="11"/>
      <c r="F10" s="11"/>
      <c r="G10" s="11"/>
      <c r="H10" s="11"/>
    </row>
    <row r="11" spans="1:8" ht="24.75" customHeight="1">
      <c r="A11" s="12" t="s">
        <v>1</v>
      </c>
      <c r="B11" s="13" t="s">
        <v>9</v>
      </c>
      <c r="C11" s="2"/>
      <c r="D11" s="11"/>
      <c r="E11" s="11"/>
      <c r="F11" s="11"/>
      <c r="G11" s="11"/>
      <c r="H11" s="11"/>
    </row>
    <row r="12" spans="1:8" ht="24.75" customHeight="1">
      <c r="A12" s="14" t="s">
        <v>26</v>
      </c>
      <c r="B12" s="2" t="s">
        <v>10</v>
      </c>
      <c r="C12" s="2"/>
      <c r="D12" s="11"/>
      <c r="E12" s="11"/>
      <c r="F12" s="11"/>
      <c r="G12" s="11"/>
      <c r="H12" s="11"/>
    </row>
    <row r="13" spans="1:8" ht="24.75" customHeight="1">
      <c r="A13" s="14" t="s">
        <v>27</v>
      </c>
      <c r="B13" s="2" t="s">
        <v>10</v>
      </c>
      <c r="C13" s="2"/>
      <c r="D13" s="11"/>
      <c r="E13" s="11"/>
      <c r="F13" s="11"/>
      <c r="G13" s="11"/>
      <c r="H13" s="11"/>
    </row>
    <row r="14" spans="1:8" ht="24.75" customHeight="1">
      <c r="A14" s="14" t="s">
        <v>32</v>
      </c>
      <c r="B14" s="2" t="s">
        <v>10</v>
      </c>
      <c r="C14" s="2"/>
      <c r="D14" s="11"/>
      <c r="E14" s="11"/>
      <c r="F14" s="11"/>
      <c r="G14" s="11"/>
      <c r="H14" s="11"/>
    </row>
    <row r="15" spans="1:8" ht="24.75" customHeight="1">
      <c r="A15" s="14" t="s">
        <v>12</v>
      </c>
      <c r="B15" s="23" t="s">
        <v>12</v>
      </c>
      <c r="C15" s="15"/>
      <c r="D15" s="16"/>
      <c r="E15" s="16"/>
      <c r="F15" s="16"/>
      <c r="G15" s="16"/>
      <c r="H15" s="16"/>
    </row>
    <row r="16" spans="2:8" ht="16.5" customHeight="1">
      <c r="B16" s="145" t="s">
        <v>37</v>
      </c>
      <c r="C16" s="145"/>
      <c r="D16" s="24"/>
      <c r="E16" s="126" t="s">
        <v>13</v>
      </c>
      <c r="F16" s="126"/>
      <c r="G16" s="126"/>
      <c r="H16" s="126"/>
    </row>
    <row r="17" spans="2:8" ht="15.75" customHeight="1">
      <c r="B17" s="145"/>
      <c r="C17" s="145"/>
      <c r="D17" s="24"/>
      <c r="E17" s="127" t="s">
        <v>22</v>
      </c>
      <c r="F17" s="127"/>
      <c r="G17" s="127"/>
      <c r="H17" s="127"/>
    </row>
    <row r="18" spans="2:8" s="25" customFormat="1" ht="15.75" customHeight="1">
      <c r="B18" s="145"/>
      <c r="C18" s="145"/>
      <c r="D18" s="26"/>
      <c r="E18" s="128" t="s">
        <v>36</v>
      </c>
      <c r="F18" s="128"/>
      <c r="G18" s="128"/>
      <c r="H18" s="128"/>
    </row>
    <row r="20" ht="15.75">
      <c r="B20" s="17"/>
    </row>
    <row r="22" ht="15.75" hidden="1">
      <c r="A22" s="18" t="s">
        <v>24</v>
      </c>
    </row>
    <row r="23" spans="1:3" ht="15.75" hidden="1">
      <c r="A23" s="19"/>
      <c r="B23" s="146" t="s">
        <v>33</v>
      </c>
      <c r="C23" s="146"/>
    </row>
    <row r="24" spans="1:8" ht="15.75" customHeight="1" hidden="1">
      <c r="A24" s="20" t="s">
        <v>14</v>
      </c>
      <c r="B24" s="140" t="s">
        <v>34</v>
      </c>
      <c r="C24" s="140"/>
      <c r="D24" s="20"/>
      <c r="E24" s="20"/>
      <c r="F24" s="20"/>
      <c r="G24" s="20"/>
      <c r="H24" s="20"/>
    </row>
    <row r="25" spans="1:8" ht="15" customHeight="1" hidden="1">
      <c r="A25" s="20"/>
      <c r="B25" s="140" t="s">
        <v>35</v>
      </c>
      <c r="C25" s="140"/>
      <c r="D25" s="140"/>
      <c r="E25" s="20"/>
      <c r="F25" s="20"/>
      <c r="G25" s="20"/>
      <c r="H25" s="20"/>
    </row>
    <row r="26" spans="2:3" ht="15.75">
      <c r="B26" s="21"/>
      <c r="C26" s="21"/>
    </row>
  </sheetData>
  <sheetProtection/>
  <mergeCells count="22">
    <mergeCell ref="F3:H3"/>
    <mergeCell ref="G6:H6"/>
    <mergeCell ref="C1:E2"/>
    <mergeCell ref="C6:C7"/>
    <mergeCell ref="A1:B1"/>
    <mergeCell ref="F1:H1"/>
    <mergeCell ref="A2:B2"/>
    <mergeCell ref="F2:H2"/>
    <mergeCell ref="B24:C24"/>
    <mergeCell ref="B25:D25"/>
    <mergeCell ref="A8:B8"/>
    <mergeCell ref="A9:B9"/>
    <mergeCell ref="B16:C18"/>
    <mergeCell ref="B23:C23"/>
    <mergeCell ref="E16:H16"/>
    <mergeCell ref="E17:H17"/>
    <mergeCell ref="E18:H18"/>
    <mergeCell ref="A5:B7"/>
    <mergeCell ref="C5:D5"/>
    <mergeCell ref="E5:H5"/>
    <mergeCell ref="D6:D7"/>
    <mergeCell ref="E6:F6"/>
  </mergeCells>
  <printOptions/>
  <pageMargins left="0.75" right="0.5" top="0.75" bottom="0.5"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theme="0"/>
  </sheetPr>
  <dimension ref="A1:X112"/>
  <sheetViews>
    <sheetView view="pageBreakPreview" zoomScale="90" zoomScaleSheetLayoutView="90" zoomScalePageLayoutView="0" workbookViewId="0" topLeftCell="A73">
      <selection activeCell="J5" sqref="J5"/>
    </sheetView>
  </sheetViews>
  <sheetFormatPr defaultColWidth="9.00390625" defaultRowHeight="15.75"/>
  <cols>
    <col min="1" max="1" width="2.625" style="0" customWidth="1"/>
    <col min="2" max="2" width="11.625" style="0" customWidth="1"/>
    <col min="3" max="3" width="7.625" style="0" customWidth="1"/>
    <col min="4" max="4" width="8.25390625" style="0" customWidth="1"/>
    <col min="5" max="5" width="7.375" style="0" customWidth="1"/>
    <col min="6" max="6" width="6.00390625" style="0" customWidth="1"/>
    <col min="7" max="7" width="5.25390625" style="0" customWidth="1"/>
    <col min="8" max="8" width="7.75390625" style="0" customWidth="1"/>
    <col min="9" max="9" width="8.375" style="0" customWidth="1"/>
    <col min="10" max="10" width="6.625" style="0" customWidth="1"/>
    <col min="11" max="11" width="5.875" style="0" customWidth="1"/>
    <col min="12" max="12" width="4.00390625" style="0" customWidth="1"/>
    <col min="13" max="13" width="7.50390625" style="0" customWidth="1"/>
    <col min="14" max="14" width="7.00390625" style="0" customWidth="1"/>
    <col min="15" max="15" width="5.50390625" style="0" customWidth="1"/>
    <col min="16" max="16" width="4.50390625" style="0" customWidth="1"/>
    <col min="17" max="17" width="7.25390625" style="0" customWidth="1"/>
    <col min="18" max="18" width="8.125" style="0" customWidth="1"/>
    <col min="19" max="19" width="7.625" style="0" customWidth="1"/>
    <col min="20" max="20" width="5.00390625" style="0" customWidth="1"/>
    <col min="21" max="21" width="7.625" style="0" customWidth="1"/>
    <col min="22" max="23" width="6.625" style="0" customWidth="1"/>
    <col min="24" max="24" width="10.75390625" style="0" customWidth="1"/>
  </cols>
  <sheetData>
    <row r="1" spans="1:24" ht="16.5">
      <c r="A1" s="34" t="s">
        <v>17</v>
      </c>
      <c r="B1" s="34"/>
      <c r="C1" s="34"/>
      <c r="D1" s="30"/>
      <c r="E1" s="189" t="s">
        <v>198</v>
      </c>
      <c r="F1" s="189"/>
      <c r="G1" s="189"/>
      <c r="H1" s="189"/>
      <c r="I1" s="189"/>
      <c r="J1" s="189"/>
      <c r="K1" s="189"/>
      <c r="L1" s="189"/>
      <c r="M1" s="189"/>
      <c r="N1" s="189"/>
      <c r="O1" s="189"/>
      <c r="P1" s="189"/>
      <c r="Q1" s="153" t="s">
        <v>190</v>
      </c>
      <c r="R1" s="153"/>
      <c r="S1" s="153"/>
      <c r="T1" s="153"/>
      <c r="U1" s="118"/>
      <c r="V1" s="30"/>
      <c r="W1" s="30"/>
      <c r="X1" s="30"/>
    </row>
    <row r="2" spans="1:24" ht="16.5" customHeight="1">
      <c r="A2" s="190" t="s">
        <v>96</v>
      </c>
      <c r="B2" s="190"/>
      <c r="C2" s="190"/>
      <c r="D2" s="190"/>
      <c r="E2" s="191" t="s">
        <v>21</v>
      </c>
      <c r="F2" s="191"/>
      <c r="G2" s="191"/>
      <c r="H2" s="191"/>
      <c r="I2" s="191"/>
      <c r="J2" s="191"/>
      <c r="K2" s="191"/>
      <c r="L2" s="191"/>
      <c r="M2" s="191"/>
      <c r="N2" s="191"/>
      <c r="O2" s="191"/>
      <c r="P2" s="191"/>
      <c r="Q2" s="152" t="s">
        <v>189</v>
      </c>
      <c r="R2" s="152"/>
      <c r="S2" s="152"/>
      <c r="T2" s="152"/>
      <c r="U2" s="152"/>
      <c r="V2" s="152"/>
      <c r="W2" s="30"/>
      <c r="X2" s="30"/>
    </row>
    <row r="3" spans="1:24" ht="16.5">
      <c r="A3" s="190" t="s">
        <v>97</v>
      </c>
      <c r="B3" s="190"/>
      <c r="C3" s="190"/>
      <c r="D3" s="190"/>
      <c r="E3" s="192" t="s">
        <v>238</v>
      </c>
      <c r="F3" s="193"/>
      <c r="G3" s="193"/>
      <c r="H3" s="193"/>
      <c r="I3" s="193"/>
      <c r="J3" s="193"/>
      <c r="K3" s="193"/>
      <c r="L3" s="193"/>
      <c r="M3" s="193"/>
      <c r="N3" s="193"/>
      <c r="O3" s="193"/>
      <c r="P3" s="193"/>
      <c r="Q3" s="153" t="s">
        <v>188</v>
      </c>
      <c r="R3" s="153"/>
      <c r="S3" s="153"/>
      <c r="T3" s="153"/>
      <c r="U3" s="118"/>
      <c r="V3" s="30"/>
      <c r="W3" s="30"/>
      <c r="X3" s="30"/>
    </row>
    <row r="4" spans="1:24" ht="15.75">
      <c r="A4" s="34" t="s">
        <v>187</v>
      </c>
      <c r="B4" s="34"/>
      <c r="C4" s="34"/>
      <c r="D4" s="34"/>
      <c r="E4" s="34"/>
      <c r="F4" s="34"/>
      <c r="G4" s="34"/>
      <c r="H4" s="34"/>
      <c r="I4" s="34"/>
      <c r="J4" s="34"/>
      <c r="K4" s="34"/>
      <c r="L4" s="34"/>
      <c r="M4" s="34"/>
      <c r="N4" s="34"/>
      <c r="O4" s="45"/>
      <c r="P4" s="45"/>
      <c r="Q4" s="152" t="s">
        <v>186</v>
      </c>
      <c r="R4" s="152"/>
      <c r="S4" s="152"/>
      <c r="T4" s="152"/>
      <c r="U4" s="119"/>
      <c r="V4" s="30"/>
      <c r="W4" s="30"/>
      <c r="X4" s="30"/>
    </row>
    <row r="5" spans="1:24" ht="15.75">
      <c r="A5" s="30"/>
      <c r="B5" s="41"/>
      <c r="C5" s="41"/>
      <c r="D5" s="30"/>
      <c r="E5" s="30"/>
      <c r="F5" s="30"/>
      <c r="G5" s="30"/>
      <c r="H5" s="30"/>
      <c r="I5" s="30"/>
      <c r="J5" s="30"/>
      <c r="K5" s="30"/>
      <c r="L5" s="30"/>
      <c r="M5" s="30"/>
      <c r="N5" s="30"/>
      <c r="O5" s="30"/>
      <c r="P5" s="30"/>
      <c r="Q5" s="179" t="s">
        <v>197</v>
      </c>
      <c r="R5" s="179"/>
      <c r="S5" s="179"/>
      <c r="T5" s="179"/>
      <c r="U5" s="125"/>
      <c r="V5" s="30"/>
      <c r="W5" s="30"/>
      <c r="X5" s="30"/>
    </row>
    <row r="6" spans="1:24" ht="15.75">
      <c r="A6" s="180" t="s">
        <v>38</v>
      </c>
      <c r="B6" s="180"/>
      <c r="C6" s="181" t="s">
        <v>83</v>
      </c>
      <c r="D6" s="182"/>
      <c r="E6" s="183"/>
      <c r="F6" s="184" t="s">
        <v>61</v>
      </c>
      <c r="G6" s="159" t="s">
        <v>196</v>
      </c>
      <c r="H6" s="186" t="s">
        <v>62</v>
      </c>
      <c r="I6" s="187"/>
      <c r="J6" s="187"/>
      <c r="K6" s="187"/>
      <c r="L6" s="187"/>
      <c r="M6" s="187"/>
      <c r="N6" s="187"/>
      <c r="O6" s="187"/>
      <c r="P6" s="187"/>
      <c r="Q6" s="187"/>
      <c r="R6" s="188"/>
      <c r="S6" s="168" t="s">
        <v>195</v>
      </c>
      <c r="T6" s="164" t="s">
        <v>194</v>
      </c>
      <c r="U6" s="120"/>
      <c r="V6" s="166"/>
      <c r="W6" s="166"/>
      <c r="X6" s="30"/>
    </row>
    <row r="7" spans="1:24" ht="15.75">
      <c r="A7" s="180"/>
      <c r="B7" s="180"/>
      <c r="C7" s="168" t="s">
        <v>25</v>
      </c>
      <c r="D7" s="170" t="s">
        <v>5</v>
      </c>
      <c r="E7" s="171"/>
      <c r="F7" s="185"/>
      <c r="G7" s="169"/>
      <c r="H7" s="159" t="s">
        <v>19</v>
      </c>
      <c r="I7" s="170" t="s">
        <v>63</v>
      </c>
      <c r="J7" s="174"/>
      <c r="K7" s="174"/>
      <c r="L7" s="174"/>
      <c r="M7" s="174"/>
      <c r="N7" s="174"/>
      <c r="O7" s="174"/>
      <c r="P7" s="174"/>
      <c r="Q7" s="175"/>
      <c r="R7" s="171" t="s">
        <v>87</v>
      </c>
      <c r="S7" s="169"/>
      <c r="T7" s="165"/>
      <c r="U7" s="121"/>
      <c r="V7" s="167"/>
      <c r="W7" s="167"/>
      <c r="X7" s="118"/>
    </row>
    <row r="8" spans="1:24" ht="15.75">
      <c r="A8" s="180"/>
      <c r="B8" s="180"/>
      <c r="C8" s="169"/>
      <c r="D8" s="172"/>
      <c r="E8" s="173"/>
      <c r="F8" s="185"/>
      <c r="G8" s="169"/>
      <c r="H8" s="169"/>
      <c r="I8" s="159" t="s">
        <v>19</v>
      </c>
      <c r="J8" s="177" t="s">
        <v>5</v>
      </c>
      <c r="K8" s="178"/>
      <c r="L8" s="178"/>
      <c r="M8" s="178"/>
      <c r="N8" s="178"/>
      <c r="O8" s="178"/>
      <c r="P8" s="178"/>
      <c r="Q8" s="163"/>
      <c r="R8" s="176"/>
      <c r="S8" s="169"/>
      <c r="T8" s="165"/>
      <c r="U8" s="121"/>
      <c r="V8" s="167"/>
      <c r="W8" s="167"/>
      <c r="X8" s="30"/>
    </row>
    <row r="9" spans="1:24" ht="15.75">
      <c r="A9" s="180"/>
      <c r="B9" s="180"/>
      <c r="C9" s="169"/>
      <c r="D9" s="168" t="s">
        <v>88</v>
      </c>
      <c r="E9" s="168" t="s">
        <v>89</v>
      </c>
      <c r="F9" s="185"/>
      <c r="G9" s="169"/>
      <c r="H9" s="169"/>
      <c r="I9" s="169"/>
      <c r="J9" s="163" t="s">
        <v>90</v>
      </c>
      <c r="K9" s="164" t="s">
        <v>91</v>
      </c>
      <c r="L9" s="164" t="s">
        <v>82</v>
      </c>
      <c r="M9" s="165" t="s">
        <v>65</v>
      </c>
      <c r="N9" s="159" t="s">
        <v>92</v>
      </c>
      <c r="O9" s="159" t="s">
        <v>68</v>
      </c>
      <c r="P9" s="159" t="s">
        <v>193</v>
      </c>
      <c r="Q9" s="159" t="s">
        <v>71</v>
      </c>
      <c r="R9" s="176"/>
      <c r="S9" s="169"/>
      <c r="T9" s="165"/>
      <c r="U9" s="121"/>
      <c r="V9" s="167"/>
      <c r="W9" s="167"/>
      <c r="X9" s="30"/>
    </row>
    <row r="10" spans="1:24" ht="30.75" customHeight="1">
      <c r="A10" s="180"/>
      <c r="B10" s="180"/>
      <c r="C10" s="160"/>
      <c r="D10" s="160"/>
      <c r="E10" s="160"/>
      <c r="F10" s="172"/>
      <c r="G10" s="160"/>
      <c r="H10" s="160"/>
      <c r="I10" s="160"/>
      <c r="J10" s="163"/>
      <c r="K10" s="164"/>
      <c r="L10" s="164"/>
      <c r="M10" s="165"/>
      <c r="N10" s="160"/>
      <c r="O10" s="160" t="s">
        <v>68</v>
      </c>
      <c r="P10" s="160" t="s">
        <v>193</v>
      </c>
      <c r="Q10" s="160" t="s">
        <v>71</v>
      </c>
      <c r="R10" s="173"/>
      <c r="S10" s="160"/>
      <c r="T10" s="165"/>
      <c r="U10" s="121"/>
      <c r="V10" s="167"/>
      <c r="W10" s="167"/>
      <c r="X10" s="30"/>
    </row>
    <row r="11" spans="1:24" ht="15.75">
      <c r="A11" s="283" t="s">
        <v>4</v>
      </c>
      <c r="B11" s="283"/>
      <c r="C11" s="284">
        <v>1</v>
      </c>
      <c r="D11" s="284">
        <v>2</v>
      </c>
      <c r="E11" s="284">
        <v>3</v>
      </c>
      <c r="F11" s="284">
        <v>4</v>
      </c>
      <c r="G11" s="284">
        <v>5</v>
      </c>
      <c r="H11" s="284">
        <v>6</v>
      </c>
      <c r="I11" s="284">
        <v>7</v>
      </c>
      <c r="J11" s="284">
        <v>8</v>
      </c>
      <c r="K11" s="284">
        <v>9</v>
      </c>
      <c r="L11" s="284">
        <v>10</v>
      </c>
      <c r="M11" s="284">
        <v>11</v>
      </c>
      <c r="N11" s="284">
        <v>12</v>
      </c>
      <c r="O11" s="284">
        <v>13</v>
      </c>
      <c r="P11" s="284">
        <v>14</v>
      </c>
      <c r="Q11" s="284">
        <v>15</v>
      </c>
      <c r="R11" s="284">
        <v>16</v>
      </c>
      <c r="S11" s="284">
        <v>17</v>
      </c>
      <c r="T11" s="284">
        <v>18</v>
      </c>
      <c r="U11" s="285"/>
      <c r="V11" s="32"/>
      <c r="W11" s="32"/>
      <c r="X11" s="30"/>
    </row>
    <row r="12" spans="1:24" ht="15.75" customHeight="1">
      <c r="A12" s="286" t="s">
        <v>18</v>
      </c>
      <c r="B12" s="287"/>
      <c r="C12" s="78">
        <f aca="true" t="shared" si="0" ref="C12:K12">+C13+C23</f>
        <v>588109993</v>
      </c>
      <c r="D12" s="78">
        <f t="shared" si="0"/>
        <v>471855609</v>
      </c>
      <c r="E12" s="78">
        <f t="shared" si="0"/>
        <v>116254384</v>
      </c>
      <c r="F12" s="78">
        <f t="shared" si="0"/>
        <v>7674038</v>
      </c>
      <c r="G12" s="78">
        <f t="shared" si="0"/>
        <v>0</v>
      </c>
      <c r="H12" s="78">
        <f t="shared" si="0"/>
        <v>580435955</v>
      </c>
      <c r="I12" s="78">
        <f t="shared" si="0"/>
        <v>551601548</v>
      </c>
      <c r="J12" s="78">
        <f t="shared" si="0"/>
        <v>33021895</v>
      </c>
      <c r="K12" s="78">
        <f t="shared" si="0"/>
        <v>4117126</v>
      </c>
      <c r="L12" s="78"/>
      <c r="M12" s="78">
        <f aca="true" t="shared" si="1" ref="M12:S12">+M13+M23</f>
        <v>438760732</v>
      </c>
      <c r="N12" s="78">
        <f t="shared" si="1"/>
        <v>13088031</v>
      </c>
      <c r="O12" s="78">
        <f t="shared" si="1"/>
        <v>136404</v>
      </c>
      <c r="P12" s="78">
        <f t="shared" si="1"/>
        <v>0</v>
      </c>
      <c r="Q12" s="78">
        <f t="shared" si="1"/>
        <v>62477360</v>
      </c>
      <c r="R12" s="78">
        <f t="shared" si="1"/>
        <v>28834407</v>
      </c>
      <c r="S12" s="78">
        <f t="shared" si="1"/>
        <v>543296934</v>
      </c>
      <c r="T12" s="87">
        <f aca="true" t="shared" si="2" ref="T12:T44">(((J12+K12+L12))/I12)*100</f>
        <v>6.732943577598517</v>
      </c>
      <c r="U12" s="288"/>
      <c r="V12" s="289"/>
      <c r="W12" s="290"/>
      <c r="X12" s="291"/>
    </row>
    <row r="13" spans="1:24" ht="15.75">
      <c r="A13" s="255" t="s">
        <v>0</v>
      </c>
      <c r="B13" s="256" t="s">
        <v>192</v>
      </c>
      <c r="C13" s="78">
        <f aca="true" t="shared" si="3" ref="C13:K13">SUM(C14:C22)</f>
        <v>109351062</v>
      </c>
      <c r="D13" s="78">
        <f t="shared" si="3"/>
        <v>103655338</v>
      </c>
      <c r="E13" s="78">
        <f t="shared" si="3"/>
        <v>5695724</v>
      </c>
      <c r="F13" s="78">
        <f t="shared" si="3"/>
        <v>325</v>
      </c>
      <c r="G13" s="78">
        <f t="shared" si="3"/>
        <v>0</v>
      </c>
      <c r="H13" s="78">
        <f t="shared" si="3"/>
        <v>109350737</v>
      </c>
      <c r="I13" s="78">
        <f t="shared" si="3"/>
        <v>103195279</v>
      </c>
      <c r="J13" s="78">
        <f t="shared" si="3"/>
        <v>3697664</v>
      </c>
      <c r="K13" s="78">
        <f t="shared" si="3"/>
        <v>98864</v>
      </c>
      <c r="L13" s="78"/>
      <c r="M13" s="78">
        <f aca="true" t="shared" si="4" ref="M13:S13">SUM(M14:M22)</f>
        <v>83849630</v>
      </c>
      <c r="N13" s="78">
        <f t="shared" si="4"/>
        <v>1705229</v>
      </c>
      <c r="O13" s="78">
        <f t="shared" si="4"/>
        <v>23750</v>
      </c>
      <c r="P13" s="78">
        <f t="shared" si="4"/>
        <v>0</v>
      </c>
      <c r="Q13" s="78">
        <f t="shared" si="4"/>
        <v>13820142</v>
      </c>
      <c r="R13" s="78">
        <f t="shared" si="4"/>
        <v>6155458</v>
      </c>
      <c r="S13" s="78">
        <f t="shared" si="4"/>
        <v>105554209</v>
      </c>
      <c r="T13" s="87">
        <f t="shared" si="2"/>
        <v>3.678974500374189</v>
      </c>
      <c r="U13" s="288"/>
      <c r="V13" s="289"/>
      <c r="W13" s="290"/>
      <c r="X13" s="291"/>
    </row>
    <row r="14" spans="1:24" ht="15.75">
      <c r="A14" s="88" t="s">
        <v>26</v>
      </c>
      <c r="B14" s="90" t="s">
        <v>98</v>
      </c>
      <c r="C14" s="78">
        <f aca="true" t="shared" si="5" ref="C14:C22">+D14+E14</f>
        <v>97768</v>
      </c>
      <c r="D14" s="78">
        <v>0</v>
      </c>
      <c r="E14" s="78">
        <v>97768</v>
      </c>
      <c r="F14" s="78">
        <v>0</v>
      </c>
      <c r="G14" s="78">
        <v>0</v>
      </c>
      <c r="H14" s="78">
        <f aca="true" t="shared" si="6" ref="H14:H22">SUM(I14,R14)</f>
        <v>97768</v>
      </c>
      <c r="I14" s="78">
        <f aca="true" t="shared" si="7" ref="I14:I22">SUM(J14:Q14)</f>
        <v>97768</v>
      </c>
      <c r="J14" s="78">
        <v>87768</v>
      </c>
      <c r="K14" s="78">
        <v>10000</v>
      </c>
      <c r="L14" s="78">
        <v>0</v>
      </c>
      <c r="M14" s="78">
        <v>0</v>
      </c>
      <c r="N14" s="78">
        <v>0</v>
      </c>
      <c r="O14" s="78">
        <v>0</v>
      </c>
      <c r="P14" s="78">
        <v>0</v>
      </c>
      <c r="Q14" s="78">
        <v>0</v>
      </c>
      <c r="R14" s="78">
        <v>0</v>
      </c>
      <c r="S14" s="292">
        <f aca="true" t="shared" si="8" ref="S14:S22">SUM(M14:R14)</f>
        <v>0</v>
      </c>
      <c r="T14" s="87">
        <f t="shared" si="2"/>
        <v>100</v>
      </c>
      <c r="U14" s="288"/>
      <c r="V14" s="289"/>
      <c r="W14" s="290"/>
      <c r="X14" s="291"/>
    </row>
    <row r="15" spans="1:24" ht="15.75">
      <c r="A15" s="88" t="s">
        <v>27</v>
      </c>
      <c r="B15" s="90" t="s">
        <v>185</v>
      </c>
      <c r="C15" s="78">
        <f t="shared" si="5"/>
        <v>85359</v>
      </c>
      <c r="D15" s="78">
        <v>0</v>
      </c>
      <c r="E15" s="78">
        <v>85359</v>
      </c>
      <c r="F15" s="78">
        <v>0</v>
      </c>
      <c r="G15" s="78">
        <v>0</v>
      </c>
      <c r="H15" s="78">
        <f t="shared" si="6"/>
        <v>85359</v>
      </c>
      <c r="I15" s="78">
        <f t="shared" si="7"/>
        <v>85359</v>
      </c>
      <c r="J15" s="78">
        <v>85359</v>
      </c>
      <c r="K15" s="78">
        <v>0</v>
      </c>
      <c r="L15" s="78">
        <v>0</v>
      </c>
      <c r="M15" s="78">
        <v>0</v>
      </c>
      <c r="N15" s="78">
        <v>0</v>
      </c>
      <c r="O15" s="78">
        <v>0</v>
      </c>
      <c r="P15" s="78">
        <v>0</v>
      </c>
      <c r="Q15" s="78">
        <v>0</v>
      </c>
      <c r="R15" s="78">
        <v>0</v>
      </c>
      <c r="S15" s="292">
        <f t="shared" si="8"/>
        <v>0</v>
      </c>
      <c r="T15" s="87">
        <f t="shared" si="2"/>
        <v>100</v>
      </c>
      <c r="U15" s="288"/>
      <c r="V15" s="289"/>
      <c r="W15" s="290"/>
      <c r="X15" s="291"/>
    </row>
    <row r="16" spans="1:24" ht="15.75">
      <c r="A16" s="88" t="s">
        <v>32</v>
      </c>
      <c r="B16" s="90" t="s">
        <v>184</v>
      </c>
      <c r="C16" s="78">
        <f t="shared" si="5"/>
        <v>22204810</v>
      </c>
      <c r="D16" s="78">
        <v>21778600</v>
      </c>
      <c r="E16" s="78">
        <v>426210</v>
      </c>
      <c r="F16" s="78">
        <v>0</v>
      </c>
      <c r="G16" s="78">
        <v>0</v>
      </c>
      <c r="H16" s="78">
        <f t="shared" si="6"/>
        <v>22204810</v>
      </c>
      <c r="I16" s="78">
        <f t="shared" si="7"/>
        <v>22162161</v>
      </c>
      <c r="J16" s="78">
        <v>50025</v>
      </c>
      <c r="K16" s="78">
        <v>0</v>
      </c>
      <c r="L16" s="78">
        <v>0</v>
      </c>
      <c r="M16" s="78">
        <v>12268769</v>
      </c>
      <c r="N16" s="78">
        <v>654322</v>
      </c>
      <c r="O16" s="78">
        <v>23750</v>
      </c>
      <c r="P16" s="78">
        <v>0</v>
      </c>
      <c r="Q16" s="78">
        <v>9165295</v>
      </c>
      <c r="R16" s="78">
        <v>42649</v>
      </c>
      <c r="S16" s="292">
        <f t="shared" si="8"/>
        <v>22154785</v>
      </c>
      <c r="T16" s="87">
        <f t="shared" si="2"/>
        <v>0.22572257281228128</v>
      </c>
      <c r="U16" s="288"/>
      <c r="V16" s="289"/>
      <c r="W16" s="290"/>
      <c r="X16" s="291"/>
    </row>
    <row r="17" spans="1:24" ht="15.75">
      <c r="A17" s="88" t="s">
        <v>39</v>
      </c>
      <c r="B17" s="90" t="s">
        <v>183</v>
      </c>
      <c r="C17" s="78">
        <f t="shared" si="5"/>
        <v>42730739</v>
      </c>
      <c r="D17" s="78">
        <v>39801372</v>
      </c>
      <c r="E17" s="78">
        <v>2929367</v>
      </c>
      <c r="F17" s="78">
        <v>0</v>
      </c>
      <c r="G17" s="78">
        <v>0</v>
      </c>
      <c r="H17" s="78">
        <f t="shared" si="6"/>
        <v>42730739</v>
      </c>
      <c r="I17" s="78">
        <f t="shared" si="7"/>
        <v>41649840</v>
      </c>
      <c r="J17" s="78">
        <v>1643279</v>
      </c>
      <c r="K17" s="78">
        <v>0</v>
      </c>
      <c r="L17" s="78">
        <v>0</v>
      </c>
      <c r="M17" s="78">
        <v>39578235</v>
      </c>
      <c r="N17" s="78">
        <v>428326</v>
      </c>
      <c r="O17" s="78">
        <v>0</v>
      </c>
      <c r="P17" s="78">
        <v>0</v>
      </c>
      <c r="Q17" s="78">
        <v>0</v>
      </c>
      <c r="R17" s="78">
        <v>1080899</v>
      </c>
      <c r="S17" s="292">
        <f t="shared" si="8"/>
        <v>41087460</v>
      </c>
      <c r="T17" s="87">
        <f t="shared" si="2"/>
        <v>3.945462935751974</v>
      </c>
      <c r="U17" s="288"/>
      <c r="V17" s="289"/>
      <c r="W17" s="290"/>
      <c r="X17" s="291"/>
    </row>
    <row r="18" spans="1:24" ht="15.75">
      <c r="A18" s="88" t="s">
        <v>40</v>
      </c>
      <c r="B18" s="271" t="s">
        <v>182</v>
      </c>
      <c r="C18" s="78">
        <f t="shared" si="5"/>
        <v>13510510</v>
      </c>
      <c r="D18" s="78">
        <v>13113232</v>
      </c>
      <c r="E18" s="78">
        <v>397278</v>
      </c>
      <c r="F18" s="78">
        <v>0</v>
      </c>
      <c r="G18" s="78">
        <v>0</v>
      </c>
      <c r="H18" s="78">
        <f t="shared" si="6"/>
        <v>13510510</v>
      </c>
      <c r="I18" s="78">
        <f t="shared" si="7"/>
        <v>13350185</v>
      </c>
      <c r="J18" s="78">
        <v>897899</v>
      </c>
      <c r="K18" s="78">
        <v>51174</v>
      </c>
      <c r="L18" s="78">
        <v>0</v>
      </c>
      <c r="M18" s="78">
        <v>12303452</v>
      </c>
      <c r="N18" s="78">
        <v>0</v>
      </c>
      <c r="O18" s="78">
        <v>0</v>
      </c>
      <c r="P18" s="78">
        <v>0</v>
      </c>
      <c r="Q18" s="78">
        <v>97660</v>
      </c>
      <c r="R18" s="78">
        <v>160325</v>
      </c>
      <c r="S18" s="292">
        <f t="shared" si="8"/>
        <v>12561437</v>
      </c>
      <c r="T18" s="87">
        <f t="shared" si="2"/>
        <v>7.109062533590358</v>
      </c>
      <c r="U18" s="288"/>
      <c r="V18" s="289"/>
      <c r="W18" s="290"/>
      <c r="X18" s="291"/>
    </row>
    <row r="19" spans="1:24" ht="15.75">
      <c r="A19" s="88" t="s">
        <v>41</v>
      </c>
      <c r="B19" s="90" t="s">
        <v>181</v>
      </c>
      <c r="C19" s="78">
        <f t="shared" si="5"/>
        <v>14927337</v>
      </c>
      <c r="D19" s="78">
        <v>14825857</v>
      </c>
      <c r="E19" s="78">
        <v>101480</v>
      </c>
      <c r="F19" s="78">
        <v>325</v>
      </c>
      <c r="G19" s="78">
        <v>0</v>
      </c>
      <c r="H19" s="78">
        <f t="shared" si="6"/>
        <v>14927012</v>
      </c>
      <c r="I19" s="78">
        <f t="shared" si="7"/>
        <v>14876141</v>
      </c>
      <c r="J19" s="78">
        <v>87605</v>
      </c>
      <c r="K19" s="78"/>
      <c r="L19" s="78"/>
      <c r="M19" s="78">
        <v>14187072</v>
      </c>
      <c r="N19" s="78">
        <v>601464</v>
      </c>
      <c r="O19" s="78">
        <v>0</v>
      </c>
      <c r="P19" s="78">
        <v>0</v>
      </c>
      <c r="Q19" s="78">
        <v>0</v>
      </c>
      <c r="R19" s="78">
        <v>50871</v>
      </c>
      <c r="S19" s="292">
        <f t="shared" si="8"/>
        <v>14839407</v>
      </c>
      <c r="T19" s="87">
        <f t="shared" si="2"/>
        <v>0.5888960046829349</v>
      </c>
      <c r="U19" s="288"/>
      <c r="V19" s="289"/>
      <c r="W19" s="290"/>
      <c r="X19" s="291"/>
    </row>
    <row r="20" spans="1:24" ht="15.75">
      <c r="A20" s="88" t="s">
        <v>42</v>
      </c>
      <c r="B20" s="90" t="s">
        <v>180</v>
      </c>
      <c r="C20" s="78">
        <f t="shared" si="5"/>
        <v>3869825</v>
      </c>
      <c r="D20" s="78">
        <v>2782274</v>
      </c>
      <c r="E20" s="78">
        <v>1087551</v>
      </c>
      <c r="F20" s="78">
        <v>0</v>
      </c>
      <c r="G20" s="78">
        <v>0</v>
      </c>
      <c r="H20" s="78">
        <f t="shared" si="6"/>
        <v>3869825</v>
      </c>
      <c r="I20" s="78">
        <f t="shared" si="7"/>
        <v>3815664</v>
      </c>
      <c r="J20" s="78">
        <v>196301</v>
      </c>
      <c r="K20" s="78">
        <v>0</v>
      </c>
      <c r="L20" s="78">
        <v>0</v>
      </c>
      <c r="M20" s="78">
        <v>3619363</v>
      </c>
      <c r="N20" s="78">
        <v>0</v>
      </c>
      <c r="O20" s="78">
        <v>0</v>
      </c>
      <c r="P20" s="78">
        <v>0</v>
      </c>
      <c r="Q20" s="78">
        <v>0</v>
      </c>
      <c r="R20" s="78">
        <v>54161</v>
      </c>
      <c r="S20" s="292">
        <f t="shared" si="8"/>
        <v>3673524</v>
      </c>
      <c r="T20" s="87">
        <f t="shared" si="2"/>
        <v>5.144609168941501</v>
      </c>
      <c r="U20" s="288"/>
      <c r="V20" s="289"/>
      <c r="W20" s="290"/>
      <c r="X20" s="291"/>
    </row>
    <row r="21" spans="1:24" ht="15.75">
      <c r="A21" s="88" t="s">
        <v>43</v>
      </c>
      <c r="B21" s="90" t="s">
        <v>179</v>
      </c>
      <c r="C21" s="78">
        <f t="shared" si="5"/>
        <v>3410239</v>
      </c>
      <c r="D21" s="78">
        <v>3178807</v>
      </c>
      <c r="E21" s="78">
        <v>231432</v>
      </c>
      <c r="F21" s="78">
        <v>0</v>
      </c>
      <c r="G21" s="78">
        <v>0</v>
      </c>
      <c r="H21" s="78">
        <f t="shared" si="6"/>
        <v>3410239</v>
      </c>
      <c r="I21" s="78">
        <f t="shared" si="7"/>
        <v>3149441</v>
      </c>
      <c r="J21" s="78">
        <v>634616</v>
      </c>
      <c r="K21" s="78">
        <v>37690</v>
      </c>
      <c r="L21" s="78">
        <v>0</v>
      </c>
      <c r="M21" s="78">
        <v>1205284</v>
      </c>
      <c r="N21" s="78">
        <v>21117</v>
      </c>
      <c r="O21" s="78">
        <v>0</v>
      </c>
      <c r="P21" s="78">
        <v>0</v>
      </c>
      <c r="Q21" s="78">
        <v>1250734</v>
      </c>
      <c r="R21" s="78">
        <v>260798</v>
      </c>
      <c r="S21" s="292">
        <f t="shared" si="8"/>
        <v>2737933</v>
      </c>
      <c r="T21" s="87">
        <f t="shared" si="2"/>
        <v>21.346835835311726</v>
      </c>
      <c r="U21" s="288"/>
      <c r="V21" s="289"/>
      <c r="W21" s="290"/>
      <c r="X21" s="291"/>
    </row>
    <row r="22" spans="1:24" ht="15.75">
      <c r="A22" s="88" t="s">
        <v>44</v>
      </c>
      <c r="B22" s="90" t="s">
        <v>201</v>
      </c>
      <c r="C22" s="78">
        <f t="shared" si="5"/>
        <v>8514475</v>
      </c>
      <c r="D22" s="78">
        <v>8175196</v>
      </c>
      <c r="E22" s="78">
        <v>339279</v>
      </c>
      <c r="F22" s="78">
        <v>0</v>
      </c>
      <c r="G22" s="78">
        <v>0</v>
      </c>
      <c r="H22" s="78">
        <f t="shared" si="6"/>
        <v>8514475</v>
      </c>
      <c r="I22" s="78">
        <f t="shared" si="7"/>
        <v>4008720</v>
      </c>
      <c r="J22" s="78">
        <v>14812</v>
      </c>
      <c r="K22" s="78">
        <v>0</v>
      </c>
      <c r="L22" s="78">
        <v>0</v>
      </c>
      <c r="M22" s="78">
        <v>687455</v>
      </c>
      <c r="N22" s="78">
        <v>0</v>
      </c>
      <c r="O22" s="78">
        <v>0</v>
      </c>
      <c r="P22" s="78">
        <v>0</v>
      </c>
      <c r="Q22" s="78">
        <v>3306453</v>
      </c>
      <c r="R22" s="78">
        <v>4505755</v>
      </c>
      <c r="S22" s="292">
        <f t="shared" si="8"/>
        <v>8499663</v>
      </c>
      <c r="T22" s="87">
        <f t="shared" si="2"/>
        <v>0.36949450198567124</v>
      </c>
      <c r="U22" s="288"/>
      <c r="V22" s="289"/>
      <c r="W22" s="290"/>
      <c r="X22" s="291"/>
    </row>
    <row r="23" spans="1:24" ht="15.75">
      <c r="A23" s="255" t="s">
        <v>1</v>
      </c>
      <c r="B23" s="256" t="s">
        <v>11</v>
      </c>
      <c r="C23" s="78">
        <f aca="true" t="shared" si="9" ref="C23:C46">+D23+E23</f>
        <v>478758931</v>
      </c>
      <c r="D23" s="78">
        <f>SUM(D24,D32,D38,D43,D48,D54,D60,D66,D72)</f>
        <v>368200271</v>
      </c>
      <c r="E23" s="78">
        <f>SUM(E24,E32,E38,E43,E48,E54,E60,E66,E72)</f>
        <v>110558660</v>
      </c>
      <c r="F23" s="78">
        <f>SUM(F24,F32,F38,F43,F48,F54,F60,F66,F72)</f>
        <v>7673713</v>
      </c>
      <c r="G23" s="78">
        <f>SUM(G24,G32,G38,G43,G48,G54,G60,G66,G72)</f>
        <v>0</v>
      </c>
      <c r="H23" s="78">
        <f aca="true" t="shared" si="10" ref="H23:H37">SUM(I23,R23)</f>
        <v>471085218</v>
      </c>
      <c r="I23" s="78">
        <f aca="true" t="shared" si="11" ref="I23:I37">SUM(J23:Q23)</f>
        <v>448406269</v>
      </c>
      <c r="J23" s="78">
        <f>SUM(J24,J32,J38,J43,J48,J54,J60,J66,J72)</f>
        <v>29324231</v>
      </c>
      <c r="K23" s="78">
        <f>SUM(K24,K32,K38,K43,K48,K54,K60,K66,K72)</f>
        <v>4018262</v>
      </c>
      <c r="L23" s="78"/>
      <c r="M23" s="78">
        <f aca="true" t="shared" si="12" ref="M23:S23">SUM(M24,M32,M38,M43,M48,M54,M60,M66,M72)</f>
        <v>354911102</v>
      </c>
      <c r="N23" s="78">
        <f t="shared" si="12"/>
        <v>11382802</v>
      </c>
      <c r="O23" s="78">
        <f t="shared" si="12"/>
        <v>112654</v>
      </c>
      <c r="P23" s="78">
        <f t="shared" si="12"/>
        <v>0</v>
      </c>
      <c r="Q23" s="78">
        <f t="shared" si="12"/>
        <v>48657218</v>
      </c>
      <c r="R23" s="78">
        <f t="shared" si="12"/>
        <v>22678949</v>
      </c>
      <c r="S23" s="78">
        <f t="shared" si="12"/>
        <v>437742725</v>
      </c>
      <c r="T23" s="87">
        <f t="shared" si="2"/>
        <v>7.435777620673719</v>
      </c>
      <c r="U23" s="288"/>
      <c r="V23" s="289"/>
      <c r="W23" s="290"/>
      <c r="X23" s="291"/>
    </row>
    <row r="24" spans="1:24" ht="15.75">
      <c r="A24" s="255" t="s">
        <v>26</v>
      </c>
      <c r="B24" s="256" t="s">
        <v>178</v>
      </c>
      <c r="C24" s="78">
        <f t="shared" si="9"/>
        <v>153703920</v>
      </c>
      <c r="D24" s="78">
        <f>SUM(D25:D31)</f>
        <v>126366488</v>
      </c>
      <c r="E24" s="78">
        <f>SUM(E25:E31)</f>
        <v>27337432</v>
      </c>
      <c r="F24" s="78">
        <f>SUM(F25:F31)</f>
        <v>5175834</v>
      </c>
      <c r="G24" s="78">
        <f>SUM(G25:G31)</f>
        <v>0</v>
      </c>
      <c r="H24" s="78">
        <f t="shared" si="10"/>
        <v>148528086</v>
      </c>
      <c r="I24" s="78">
        <f t="shared" si="11"/>
        <v>142210409</v>
      </c>
      <c r="J24" s="78">
        <f>SUM(J25:J31)</f>
        <v>14204395</v>
      </c>
      <c r="K24" s="78">
        <f>SUM(K25:K31)</f>
        <v>1781780</v>
      </c>
      <c r="L24" s="78"/>
      <c r="M24" s="78">
        <f aca="true" t="shared" si="13" ref="M24:R24">SUM(M25:M31)</f>
        <v>99838450</v>
      </c>
      <c r="N24" s="78">
        <f t="shared" si="13"/>
        <v>3427439</v>
      </c>
      <c r="O24" s="78">
        <f t="shared" si="13"/>
        <v>0</v>
      </c>
      <c r="P24" s="78">
        <f t="shared" si="13"/>
        <v>0</v>
      </c>
      <c r="Q24" s="78">
        <f t="shared" si="13"/>
        <v>22958345</v>
      </c>
      <c r="R24" s="78">
        <f t="shared" si="13"/>
        <v>6317677</v>
      </c>
      <c r="S24" s="292">
        <f aca="true" t="shared" si="14" ref="S24:S37">SUM(M24:R24)</f>
        <v>132541911</v>
      </c>
      <c r="T24" s="87">
        <f t="shared" si="2"/>
        <v>11.241213011348558</v>
      </c>
      <c r="U24" s="288"/>
      <c r="V24" s="289"/>
      <c r="W24" s="290"/>
      <c r="X24" s="291"/>
    </row>
    <row r="25" spans="1:24" ht="15.75">
      <c r="A25" s="88" t="s">
        <v>28</v>
      </c>
      <c r="B25" s="90" t="s">
        <v>177</v>
      </c>
      <c r="C25" s="78">
        <f t="shared" si="9"/>
        <v>731742</v>
      </c>
      <c r="D25" s="293">
        <f>277442</f>
        <v>277442</v>
      </c>
      <c r="E25" s="78">
        <v>454300</v>
      </c>
      <c r="F25" s="78">
        <v>180200</v>
      </c>
      <c r="G25" s="78">
        <v>0</v>
      </c>
      <c r="H25" s="78">
        <f t="shared" si="10"/>
        <v>551542</v>
      </c>
      <c r="I25" s="78">
        <f t="shared" si="11"/>
        <v>279416</v>
      </c>
      <c r="J25" s="78">
        <v>73900</v>
      </c>
      <c r="K25" s="78"/>
      <c r="L25" s="78">
        <v>0</v>
      </c>
      <c r="M25" s="78">
        <v>205516</v>
      </c>
      <c r="N25" s="78"/>
      <c r="O25" s="78">
        <v>0</v>
      </c>
      <c r="P25" s="89">
        <v>0</v>
      </c>
      <c r="Q25" s="105">
        <v>0</v>
      </c>
      <c r="R25" s="105">
        <v>272126</v>
      </c>
      <c r="S25" s="292">
        <f t="shared" si="14"/>
        <v>477642</v>
      </c>
      <c r="T25" s="87">
        <f t="shared" si="2"/>
        <v>26.448020156326052</v>
      </c>
      <c r="U25" s="288"/>
      <c r="V25" s="289"/>
      <c r="W25" s="290"/>
      <c r="X25" s="291"/>
    </row>
    <row r="26" spans="1:24" ht="15.75">
      <c r="A26" s="88" t="s">
        <v>29</v>
      </c>
      <c r="B26" s="90" t="s">
        <v>176</v>
      </c>
      <c r="C26" s="78">
        <f t="shared" si="9"/>
        <v>26560331</v>
      </c>
      <c r="D26" s="293">
        <f>19377152</f>
        <v>19377152</v>
      </c>
      <c r="E26" s="78">
        <v>7183179</v>
      </c>
      <c r="F26" s="78">
        <v>2172738</v>
      </c>
      <c r="G26" s="78">
        <v>0</v>
      </c>
      <c r="H26" s="78">
        <f t="shared" si="10"/>
        <v>24387593</v>
      </c>
      <c r="I26" s="78">
        <f t="shared" si="11"/>
        <v>23619682</v>
      </c>
      <c r="J26" s="78">
        <v>435776</v>
      </c>
      <c r="K26" s="78">
        <v>22506</v>
      </c>
      <c r="L26" s="78">
        <v>0</v>
      </c>
      <c r="M26" s="78">
        <f>13178319</f>
        <v>13178319</v>
      </c>
      <c r="N26" s="78">
        <v>62031</v>
      </c>
      <c r="O26" s="78">
        <v>0</v>
      </c>
      <c r="P26" s="89">
        <v>0</v>
      </c>
      <c r="Q26" s="105">
        <v>9921050</v>
      </c>
      <c r="R26" s="105">
        <v>767911</v>
      </c>
      <c r="S26" s="292">
        <f t="shared" si="14"/>
        <v>23929311</v>
      </c>
      <c r="T26" s="87">
        <f t="shared" si="2"/>
        <v>1.9402547417869553</v>
      </c>
      <c r="U26" s="288"/>
      <c r="V26" s="289"/>
      <c r="W26" s="290"/>
      <c r="X26" s="291"/>
    </row>
    <row r="27" spans="1:24" ht="15.75">
      <c r="A27" s="88" t="s">
        <v>64</v>
      </c>
      <c r="B27" s="90" t="s">
        <v>175</v>
      </c>
      <c r="C27" s="78">
        <f t="shared" si="9"/>
        <v>36034603</v>
      </c>
      <c r="D27" s="293">
        <v>31501983</v>
      </c>
      <c r="E27" s="78">
        <v>4532620</v>
      </c>
      <c r="F27" s="78">
        <v>0</v>
      </c>
      <c r="G27" s="78">
        <v>0</v>
      </c>
      <c r="H27" s="78">
        <f t="shared" si="10"/>
        <v>36034603</v>
      </c>
      <c r="I27" s="78">
        <f t="shared" si="11"/>
        <v>35812957</v>
      </c>
      <c r="J27" s="78">
        <v>8018644</v>
      </c>
      <c r="K27" s="78">
        <v>860750</v>
      </c>
      <c r="L27" s="78">
        <v>0</v>
      </c>
      <c r="M27" s="78">
        <v>12867349</v>
      </c>
      <c r="N27" s="78">
        <v>2512032</v>
      </c>
      <c r="O27" s="78">
        <v>0</v>
      </c>
      <c r="P27" s="89">
        <v>0</v>
      </c>
      <c r="Q27" s="105">
        <f>11639154-84972</f>
        <v>11554182</v>
      </c>
      <c r="R27" s="105">
        <v>221646</v>
      </c>
      <c r="S27" s="292">
        <f t="shared" si="14"/>
        <v>27155209</v>
      </c>
      <c r="T27" s="87">
        <f t="shared" si="2"/>
        <v>24.793802980301237</v>
      </c>
      <c r="U27" s="288"/>
      <c r="V27" s="289"/>
      <c r="W27" s="290"/>
      <c r="X27" s="291"/>
    </row>
    <row r="28" spans="1:24" ht="15.75">
      <c r="A28" s="88" t="s">
        <v>66</v>
      </c>
      <c r="B28" s="90" t="s">
        <v>174</v>
      </c>
      <c r="C28" s="78">
        <f t="shared" si="9"/>
        <v>27599045</v>
      </c>
      <c r="D28" s="293">
        <v>21826598</v>
      </c>
      <c r="E28" s="78">
        <v>5772447</v>
      </c>
      <c r="F28" s="78">
        <v>0</v>
      </c>
      <c r="G28" s="78">
        <v>0</v>
      </c>
      <c r="H28" s="78">
        <f t="shared" si="10"/>
        <v>27599045</v>
      </c>
      <c r="I28" s="78">
        <f t="shared" si="11"/>
        <v>26812412</v>
      </c>
      <c r="J28" s="78">
        <v>1242355</v>
      </c>
      <c r="K28" s="78">
        <v>875364</v>
      </c>
      <c r="L28" s="78">
        <v>0</v>
      </c>
      <c r="M28" s="78">
        <v>23537252</v>
      </c>
      <c r="N28" s="78">
        <v>102625</v>
      </c>
      <c r="O28" s="78">
        <v>0</v>
      </c>
      <c r="P28" s="89">
        <v>0</v>
      </c>
      <c r="Q28" s="105">
        <v>1054816</v>
      </c>
      <c r="R28" s="105">
        <v>786633</v>
      </c>
      <c r="S28" s="292">
        <f t="shared" si="14"/>
        <v>25481326</v>
      </c>
      <c r="T28" s="87">
        <f t="shared" si="2"/>
        <v>7.898278603208096</v>
      </c>
      <c r="U28" s="288"/>
      <c r="V28" s="289"/>
      <c r="W28" s="290"/>
      <c r="X28" s="291"/>
    </row>
    <row r="29" spans="1:24" ht="15.75">
      <c r="A29" s="88" t="s">
        <v>67</v>
      </c>
      <c r="B29" s="90" t="s">
        <v>173</v>
      </c>
      <c r="C29" s="78">
        <f t="shared" si="9"/>
        <v>27786642</v>
      </c>
      <c r="D29" s="293">
        <v>24042107</v>
      </c>
      <c r="E29" s="78">
        <v>3744535</v>
      </c>
      <c r="F29" s="78">
        <v>32000</v>
      </c>
      <c r="G29" s="78">
        <v>0</v>
      </c>
      <c r="H29" s="78">
        <f t="shared" si="10"/>
        <v>27754642</v>
      </c>
      <c r="I29" s="78">
        <f t="shared" si="11"/>
        <v>23905794</v>
      </c>
      <c r="J29" s="78">
        <v>2414397</v>
      </c>
      <c r="K29" s="78">
        <v>0</v>
      </c>
      <c r="L29" s="78">
        <v>0</v>
      </c>
      <c r="M29" s="78">
        <v>20830905</v>
      </c>
      <c r="N29" s="78">
        <v>660492</v>
      </c>
      <c r="O29" s="78">
        <v>0</v>
      </c>
      <c r="P29" s="89">
        <v>0</v>
      </c>
      <c r="Q29" s="105">
        <v>0</v>
      </c>
      <c r="R29" s="105">
        <v>3848848</v>
      </c>
      <c r="S29" s="292">
        <f t="shared" si="14"/>
        <v>25340245</v>
      </c>
      <c r="T29" s="87">
        <f t="shared" si="2"/>
        <v>10.099631076884542</v>
      </c>
      <c r="U29" s="288"/>
      <c r="V29" s="289"/>
      <c r="W29" s="290"/>
      <c r="X29" s="291"/>
    </row>
    <row r="30" spans="1:24" ht="15.75">
      <c r="A30" s="88" t="s">
        <v>69</v>
      </c>
      <c r="B30" s="90" t="s">
        <v>172</v>
      </c>
      <c r="C30" s="78">
        <f t="shared" si="9"/>
        <v>17730751</v>
      </c>
      <c r="D30" s="294">
        <v>13336839</v>
      </c>
      <c r="E30" s="103">
        <v>4393912</v>
      </c>
      <c r="F30" s="103">
        <v>600</v>
      </c>
      <c r="G30" s="78">
        <v>0</v>
      </c>
      <c r="H30" s="78">
        <f t="shared" si="10"/>
        <v>17730151</v>
      </c>
      <c r="I30" s="78">
        <f t="shared" si="11"/>
        <v>17416680</v>
      </c>
      <c r="J30" s="103">
        <f>263483+500</f>
        <v>263983</v>
      </c>
      <c r="K30" s="103">
        <v>23160</v>
      </c>
      <c r="L30" s="103">
        <v>0</v>
      </c>
      <c r="M30" s="103">
        <f>17130037-500</f>
        <v>17129537</v>
      </c>
      <c r="N30" s="103">
        <v>0</v>
      </c>
      <c r="O30" s="78">
        <v>0</v>
      </c>
      <c r="P30" s="104">
        <v>0</v>
      </c>
      <c r="Q30" s="106">
        <v>0</v>
      </c>
      <c r="R30" s="105">
        <v>313471</v>
      </c>
      <c r="S30" s="292">
        <f t="shared" si="14"/>
        <v>17443008</v>
      </c>
      <c r="T30" s="87">
        <f t="shared" si="2"/>
        <v>1.6486666804465606</v>
      </c>
      <c r="U30" s="288"/>
      <c r="V30" s="289"/>
      <c r="W30" s="290"/>
      <c r="X30" s="291"/>
    </row>
    <row r="31" spans="1:24" ht="15.75">
      <c r="A31" s="88" t="s">
        <v>70</v>
      </c>
      <c r="B31" s="90" t="s">
        <v>171</v>
      </c>
      <c r="C31" s="78">
        <f t="shared" si="9"/>
        <v>17260806</v>
      </c>
      <c r="D31" s="293">
        <v>16004367</v>
      </c>
      <c r="E31" s="78">
        <v>1256439</v>
      </c>
      <c r="F31" s="78">
        <v>2790296</v>
      </c>
      <c r="G31" s="78">
        <v>0</v>
      </c>
      <c r="H31" s="78">
        <f t="shared" si="10"/>
        <v>14470510</v>
      </c>
      <c r="I31" s="78">
        <f t="shared" si="11"/>
        <v>14363468</v>
      </c>
      <c r="J31" s="78">
        <v>1755340</v>
      </c>
      <c r="K31" s="78">
        <v>0</v>
      </c>
      <c r="L31" s="78">
        <v>0</v>
      </c>
      <c r="M31" s="78">
        <v>12089572</v>
      </c>
      <c r="N31" s="78">
        <v>90259</v>
      </c>
      <c r="O31" s="78">
        <v>0</v>
      </c>
      <c r="P31" s="89">
        <v>0</v>
      </c>
      <c r="Q31" s="105">
        <v>428297</v>
      </c>
      <c r="R31" s="105">
        <v>107042</v>
      </c>
      <c r="S31" s="292">
        <f t="shared" si="14"/>
        <v>12715170</v>
      </c>
      <c r="T31" s="87">
        <f t="shared" si="2"/>
        <v>12.22086476608574</v>
      </c>
      <c r="U31" s="288"/>
      <c r="V31" s="289"/>
      <c r="W31" s="290"/>
      <c r="X31" s="291"/>
    </row>
    <row r="32" spans="1:24" ht="15.75">
      <c r="A32" s="255" t="s">
        <v>27</v>
      </c>
      <c r="B32" s="256" t="s">
        <v>170</v>
      </c>
      <c r="C32" s="78">
        <f t="shared" si="9"/>
        <v>44564710</v>
      </c>
      <c r="D32" s="78">
        <f>SUM(D33:D37)</f>
        <v>36910577</v>
      </c>
      <c r="E32" s="78">
        <f>SUM(E33:E37)</f>
        <v>7654133</v>
      </c>
      <c r="F32" s="78">
        <f>SUM(F33:F37)</f>
        <v>315719</v>
      </c>
      <c r="G32" s="78">
        <f>SUM(G33:G37)</f>
        <v>0</v>
      </c>
      <c r="H32" s="78">
        <f t="shared" si="10"/>
        <v>44248991</v>
      </c>
      <c r="I32" s="78">
        <f t="shared" si="11"/>
        <v>42289226</v>
      </c>
      <c r="J32" s="78">
        <f>SUM(J33:J37)</f>
        <v>2014591</v>
      </c>
      <c r="K32" s="78">
        <f>SUM(K33:K37)</f>
        <v>179263</v>
      </c>
      <c r="L32" s="78"/>
      <c r="M32" s="78">
        <f aca="true" t="shared" si="15" ref="M32:R32">SUM(M33:M37)</f>
        <v>24770008</v>
      </c>
      <c r="N32" s="78">
        <f t="shared" si="15"/>
        <v>3735045</v>
      </c>
      <c r="O32" s="78">
        <f t="shared" si="15"/>
        <v>79804</v>
      </c>
      <c r="P32" s="78">
        <f t="shared" si="15"/>
        <v>0</v>
      </c>
      <c r="Q32" s="78">
        <f t="shared" si="15"/>
        <v>11510515</v>
      </c>
      <c r="R32" s="78">
        <f t="shared" si="15"/>
        <v>1959765</v>
      </c>
      <c r="S32" s="292">
        <f t="shared" si="14"/>
        <v>42055137</v>
      </c>
      <c r="T32" s="87">
        <f t="shared" si="2"/>
        <v>5.1877374156717835</v>
      </c>
      <c r="U32" s="288"/>
      <c r="V32" s="289"/>
      <c r="W32" s="290"/>
      <c r="X32" s="291"/>
    </row>
    <row r="33" spans="1:24" ht="15.75">
      <c r="A33" s="88" t="s">
        <v>30</v>
      </c>
      <c r="B33" s="90" t="s">
        <v>169</v>
      </c>
      <c r="C33" s="78">
        <f t="shared" si="9"/>
        <v>3103276</v>
      </c>
      <c r="D33" s="78">
        <v>2881891</v>
      </c>
      <c r="E33" s="76">
        <v>221385</v>
      </c>
      <c r="F33" s="76">
        <v>0</v>
      </c>
      <c r="G33" s="101">
        <v>0</v>
      </c>
      <c r="H33" s="78">
        <f t="shared" si="10"/>
        <v>3103276</v>
      </c>
      <c r="I33" s="78">
        <f t="shared" si="11"/>
        <v>2827621</v>
      </c>
      <c r="J33" s="116">
        <v>249050</v>
      </c>
      <c r="K33" s="76">
        <v>0</v>
      </c>
      <c r="L33" s="76">
        <v>0</v>
      </c>
      <c r="M33" s="116">
        <v>2242312</v>
      </c>
      <c r="N33" s="116">
        <v>0</v>
      </c>
      <c r="O33" s="76">
        <v>0</v>
      </c>
      <c r="P33" s="76">
        <v>0</v>
      </c>
      <c r="Q33" s="116">
        <v>336259</v>
      </c>
      <c r="R33" s="117">
        <v>275655</v>
      </c>
      <c r="S33" s="292">
        <f t="shared" si="14"/>
        <v>2854226</v>
      </c>
      <c r="T33" s="87">
        <f t="shared" si="2"/>
        <v>8.80775747527692</v>
      </c>
      <c r="U33" s="288"/>
      <c r="V33" s="289"/>
      <c r="W33" s="290"/>
      <c r="X33" s="291"/>
    </row>
    <row r="34" spans="1:24" ht="15.75">
      <c r="A34" s="88" t="s">
        <v>31</v>
      </c>
      <c r="B34" s="90" t="s">
        <v>168</v>
      </c>
      <c r="C34" s="78">
        <f t="shared" si="9"/>
        <v>10817054</v>
      </c>
      <c r="D34" s="78">
        <v>9399228</v>
      </c>
      <c r="E34" s="116">
        <v>1417826</v>
      </c>
      <c r="F34" s="76">
        <v>0</v>
      </c>
      <c r="G34" s="101">
        <v>0</v>
      </c>
      <c r="H34" s="78">
        <f t="shared" si="10"/>
        <v>10817054</v>
      </c>
      <c r="I34" s="78">
        <f t="shared" si="11"/>
        <v>10577826</v>
      </c>
      <c r="J34" s="116">
        <v>319833</v>
      </c>
      <c r="K34" s="116">
        <v>175848</v>
      </c>
      <c r="L34" s="76">
        <v>0</v>
      </c>
      <c r="M34" s="116">
        <v>2389260</v>
      </c>
      <c r="N34" s="116">
        <v>3568665</v>
      </c>
      <c r="O34" s="76">
        <v>0</v>
      </c>
      <c r="P34" s="76">
        <v>0</v>
      </c>
      <c r="Q34" s="116">
        <v>4124220</v>
      </c>
      <c r="R34" s="117">
        <v>239228</v>
      </c>
      <c r="S34" s="292">
        <f t="shared" si="14"/>
        <v>10321373</v>
      </c>
      <c r="T34" s="87">
        <f t="shared" si="2"/>
        <v>4.686038511126956</v>
      </c>
      <c r="U34" s="288"/>
      <c r="V34" s="289"/>
      <c r="W34" s="290"/>
      <c r="X34" s="291"/>
    </row>
    <row r="35" spans="1:24" ht="15.75">
      <c r="A35" s="88" t="s">
        <v>167</v>
      </c>
      <c r="B35" s="90" t="s">
        <v>166</v>
      </c>
      <c r="C35" s="78">
        <f t="shared" si="9"/>
        <v>19369228</v>
      </c>
      <c r="D35" s="78">
        <v>16460321</v>
      </c>
      <c r="E35" s="116">
        <v>2908907</v>
      </c>
      <c r="F35" s="76">
        <v>0</v>
      </c>
      <c r="G35" s="101">
        <v>0</v>
      </c>
      <c r="H35" s="78">
        <f t="shared" si="10"/>
        <v>19369228</v>
      </c>
      <c r="I35" s="78">
        <f t="shared" si="11"/>
        <v>18965960</v>
      </c>
      <c r="J35" s="116">
        <v>315417</v>
      </c>
      <c r="K35" s="76">
        <v>0</v>
      </c>
      <c r="L35" s="76">
        <v>0</v>
      </c>
      <c r="M35" s="116">
        <v>15478502</v>
      </c>
      <c r="N35" s="116">
        <v>6357</v>
      </c>
      <c r="O35" s="76">
        <v>0</v>
      </c>
      <c r="P35" s="76"/>
      <c r="Q35" s="116">
        <v>3165684</v>
      </c>
      <c r="R35" s="117">
        <v>403268</v>
      </c>
      <c r="S35" s="292">
        <f t="shared" si="14"/>
        <v>19053811</v>
      </c>
      <c r="T35" s="87">
        <f t="shared" si="2"/>
        <v>1.6630689930802343</v>
      </c>
      <c r="U35" s="288"/>
      <c r="V35" s="289"/>
      <c r="W35" s="290"/>
      <c r="X35" s="291"/>
    </row>
    <row r="36" spans="1:24" ht="15.75">
      <c r="A36" s="88" t="s">
        <v>165</v>
      </c>
      <c r="B36" s="90" t="s">
        <v>164</v>
      </c>
      <c r="C36" s="78">
        <f t="shared" si="9"/>
        <v>4413543</v>
      </c>
      <c r="D36" s="78">
        <v>3492759</v>
      </c>
      <c r="E36" s="116">
        <v>920784</v>
      </c>
      <c r="F36" s="116">
        <v>4819</v>
      </c>
      <c r="G36" s="101">
        <v>0</v>
      </c>
      <c r="H36" s="78">
        <f t="shared" si="10"/>
        <v>4408724</v>
      </c>
      <c r="I36" s="78">
        <f t="shared" si="11"/>
        <v>4217905</v>
      </c>
      <c r="J36" s="116">
        <v>164061</v>
      </c>
      <c r="K36" s="116">
        <v>3350</v>
      </c>
      <c r="L36" s="76">
        <v>0</v>
      </c>
      <c r="M36" s="116">
        <v>983327</v>
      </c>
      <c r="N36" s="116">
        <v>32384</v>
      </c>
      <c r="O36" s="76">
        <v>0</v>
      </c>
      <c r="P36" s="76">
        <v>0</v>
      </c>
      <c r="Q36" s="116">
        <v>3034783</v>
      </c>
      <c r="R36" s="117">
        <v>190819</v>
      </c>
      <c r="S36" s="292">
        <f t="shared" si="14"/>
        <v>4241313</v>
      </c>
      <c r="T36" s="87">
        <f t="shared" si="2"/>
        <v>3.969055727902833</v>
      </c>
      <c r="U36" s="288"/>
      <c r="V36" s="289"/>
      <c r="W36" s="290"/>
      <c r="X36" s="291"/>
    </row>
    <row r="37" spans="1:24" ht="15.75">
      <c r="A37" s="88" t="s">
        <v>163</v>
      </c>
      <c r="B37" s="90" t="s">
        <v>162</v>
      </c>
      <c r="C37" s="78">
        <f t="shared" si="9"/>
        <v>6861609</v>
      </c>
      <c r="D37" s="78">
        <v>4676378</v>
      </c>
      <c r="E37" s="116">
        <v>2185231</v>
      </c>
      <c r="F37" s="116">
        <v>310900</v>
      </c>
      <c r="G37" s="76">
        <v>0</v>
      </c>
      <c r="H37" s="78">
        <f t="shared" si="10"/>
        <v>6550709</v>
      </c>
      <c r="I37" s="78">
        <f t="shared" si="11"/>
        <v>5699914</v>
      </c>
      <c r="J37" s="116">
        <v>966230</v>
      </c>
      <c r="K37" s="116">
        <v>65</v>
      </c>
      <c r="L37" s="76">
        <v>0</v>
      </c>
      <c r="M37" s="116">
        <v>3676607</v>
      </c>
      <c r="N37" s="116">
        <v>127639</v>
      </c>
      <c r="O37" s="116">
        <v>79804</v>
      </c>
      <c r="P37" s="76">
        <v>0</v>
      </c>
      <c r="Q37" s="116">
        <v>849569</v>
      </c>
      <c r="R37" s="117">
        <v>850795</v>
      </c>
      <c r="S37" s="292">
        <f t="shared" si="14"/>
        <v>5584414</v>
      </c>
      <c r="T37" s="87">
        <f t="shared" si="2"/>
        <v>16.952799638731392</v>
      </c>
      <c r="U37" s="288"/>
      <c r="V37" s="289"/>
      <c r="W37" s="290"/>
      <c r="X37" s="291"/>
    </row>
    <row r="38" spans="1:24" ht="15.75">
      <c r="A38" s="255" t="s">
        <v>32</v>
      </c>
      <c r="B38" s="256" t="s">
        <v>161</v>
      </c>
      <c r="C38" s="78">
        <f t="shared" si="9"/>
        <v>33412699</v>
      </c>
      <c r="D38" s="78">
        <f aca="true" t="shared" si="16" ref="D38:S38">+D39+D40+D41+D42</f>
        <v>23055842</v>
      </c>
      <c r="E38" s="78">
        <f t="shared" si="16"/>
        <v>10356857</v>
      </c>
      <c r="F38" s="78">
        <f t="shared" si="16"/>
        <v>228013</v>
      </c>
      <c r="G38" s="78">
        <f t="shared" si="16"/>
        <v>0</v>
      </c>
      <c r="H38" s="78">
        <f t="shared" si="16"/>
        <v>33184686</v>
      </c>
      <c r="I38" s="78">
        <f t="shared" si="16"/>
        <v>29698343</v>
      </c>
      <c r="J38" s="78">
        <f t="shared" si="16"/>
        <v>3387865</v>
      </c>
      <c r="K38" s="78">
        <f t="shared" si="16"/>
        <v>943710</v>
      </c>
      <c r="L38" s="78">
        <f t="shared" si="16"/>
        <v>0</v>
      </c>
      <c r="M38" s="78">
        <f t="shared" si="16"/>
        <v>16664333</v>
      </c>
      <c r="N38" s="78">
        <f t="shared" si="16"/>
        <v>407141</v>
      </c>
      <c r="O38" s="78">
        <f t="shared" si="16"/>
        <v>0</v>
      </c>
      <c r="P38" s="78">
        <f t="shared" si="16"/>
        <v>0</v>
      </c>
      <c r="Q38" s="78">
        <f t="shared" si="16"/>
        <v>8295294</v>
      </c>
      <c r="R38" s="78">
        <f t="shared" si="16"/>
        <v>3486343</v>
      </c>
      <c r="S38" s="78">
        <f t="shared" si="16"/>
        <v>28853111</v>
      </c>
      <c r="T38" s="87">
        <f t="shared" si="2"/>
        <v>14.585241338212034</v>
      </c>
      <c r="U38" s="288"/>
      <c r="V38" s="289"/>
      <c r="W38" s="290"/>
      <c r="X38" s="291"/>
    </row>
    <row r="39" spans="1:24" ht="15.75">
      <c r="A39" s="88" t="s">
        <v>72</v>
      </c>
      <c r="B39" s="272" t="s">
        <v>160</v>
      </c>
      <c r="C39" s="78">
        <f t="shared" si="9"/>
        <v>1697323</v>
      </c>
      <c r="D39" s="78">
        <v>1534385</v>
      </c>
      <c r="E39" s="116">
        <v>162938</v>
      </c>
      <c r="F39" s="116">
        <v>9200</v>
      </c>
      <c r="G39" s="78">
        <v>0</v>
      </c>
      <c r="H39" s="78">
        <f aca="true" t="shared" si="17" ref="H39:H76">+I39+R39</f>
        <v>1688123</v>
      </c>
      <c r="I39" s="78">
        <f>+J39+K39+L39+M39+N39+O39+P39+Q39</f>
        <v>1450036</v>
      </c>
      <c r="J39" s="116">
        <v>48054</v>
      </c>
      <c r="K39" s="116">
        <v>13653</v>
      </c>
      <c r="L39" s="78">
        <v>0</v>
      </c>
      <c r="M39" s="116">
        <v>991363</v>
      </c>
      <c r="N39" s="116">
        <v>396966</v>
      </c>
      <c r="O39" s="78">
        <v>0</v>
      </c>
      <c r="P39" s="78">
        <v>0</v>
      </c>
      <c r="Q39" s="116"/>
      <c r="R39" s="273">
        <v>238087</v>
      </c>
      <c r="S39" s="105">
        <f>+R39+Q39+P39+O39+N39+M39</f>
        <v>1626416</v>
      </c>
      <c r="T39" s="87">
        <f t="shared" si="2"/>
        <v>4.255549517391293</v>
      </c>
      <c r="U39" s="288"/>
      <c r="V39" s="289"/>
      <c r="W39" s="290"/>
      <c r="X39" s="291"/>
    </row>
    <row r="40" spans="1:24" ht="15.75">
      <c r="A40" s="88" t="s">
        <v>73</v>
      </c>
      <c r="B40" s="90" t="s">
        <v>159</v>
      </c>
      <c r="C40" s="78">
        <f t="shared" si="9"/>
        <v>7953789</v>
      </c>
      <c r="D40" s="78">
        <v>7148305</v>
      </c>
      <c r="E40" s="78" t="s">
        <v>216</v>
      </c>
      <c r="F40" s="78" t="s">
        <v>217</v>
      </c>
      <c r="G40" s="78">
        <v>0</v>
      </c>
      <c r="H40" s="78">
        <f t="shared" si="17"/>
        <v>7815126</v>
      </c>
      <c r="I40" s="78">
        <f>+J40+K40+L40+M40+N40+O40+P40+Q40</f>
        <v>7533915</v>
      </c>
      <c r="J40" s="116">
        <v>284465</v>
      </c>
      <c r="K40" s="116">
        <v>186511</v>
      </c>
      <c r="L40" s="78">
        <v>0</v>
      </c>
      <c r="M40" s="116">
        <v>2415585</v>
      </c>
      <c r="N40" s="78"/>
      <c r="O40" s="78">
        <v>0</v>
      </c>
      <c r="P40" s="78">
        <v>0</v>
      </c>
      <c r="Q40" s="89" t="s">
        <v>219</v>
      </c>
      <c r="R40" s="105" t="s">
        <v>220</v>
      </c>
      <c r="S40" s="105">
        <f>+R40+Q40+P40+O40+N40+M40</f>
        <v>7344150</v>
      </c>
      <c r="T40" s="87">
        <f t="shared" si="2"/>
        <v>6.251411118920243</v>
      </c>
      <c r="U40" s="288"/>
      <c r="V40" s="289"/>
      <c r="W40" s="290"/>
      <c r="X40" s="291"/>
    </row>
    <row r="41" spans="1:24" ht="15.75">
      <c r="A41" s="88" t="s">
        <v>74</v>
      </c>
      <c r="B41" s="90" t="s">
        <v>158</v>
      </c>
      <c r="C41" s="78">
        <f t="shared" si="9"/>
        <v>12726221</v>
      </c>
      <c r="D41" s="78">
        <v>7100622</v>
      </c>
      <c r="E41" s="78" t="s">
        <v>218</v>
      </c>
      <c r="F41" s="116">
        <v>80150</v>
      </c>
      <c r="G41" s="78">
        <v>0</v>
      </c>
      <c r="H41" s="78">
        <f t="shared" si="17"/>
        <v>12646071</v>
      </c>
      <c r="I41" s="78">
        <f>+J41+K41+L41+M41+N41+O41+P41+Q41</f>
        <v>10084772</v>
      </c>
      <c r="J41" s="116">
        <v>940041</v>
      </c>
      <c r="K41" s="78" t="s">
        <v>221</v>
      </c>
      <c r="L41" s="78">
        <v>0</v>
      </c>
      <c r="M41" s="116">
        <v>8710960</v>
      </c>
      <c r="N41" s="78" t="s">
        <v>222</v>
      </c>
      <c r="O41" s="78">
        <v>0</v>
      </c>
      <c r="P41" s="78">
        <v>0</v>
      </c>
      <c r="Q41" s="89">
        <v>0</v>
      </c>
      <c r="R41" s="273">
        <v>2561299</v>
      </c>
      <c r="S41" s="105">
        <f>+R41+Q41+P41+O41+N41+M41</f>
        <v>11274034</v>
      </c>
      <c r="T41" s="87">
        <f t="shared" si="2"/>
        <v>13.605037377146454</v>
      </c>
      <c r="U41" s="288"/>
      <c r="V41" s="289"/>
      <c r="W41" s="290"/>
      <c r="X41" s="291"/>
    </row>
    <row r="42" spans="1:24" ht="15.75">
      <c r="A42" s="88" t="s">
        <v>157</v>
      </c>
      <c r="B42" s="90" t="s">
        <v>156</v>
      </c>
      <c r="C42" s="78">
        <f t="shared" si="9"/>
        <v>11035366</v>
      </c>
      <c r="D42" s="78">
        <v>7272530</v>
      </c>
      <c r="E42" s="116">
        <v>3762836</v>
      </c>
      <c r="F42" s="78">
        <v>0</v>
      </c>
      <c r="G42" s="78">
        <v>0</v>
      </c>
      <c r="H42" s="78">
        <f t="shared" si="17"/>
        <v>11035366</v>
      </c>
      <c r="I42" s="78">
        <f>+J42+K42+L42+M42+N42+O42+P42+Q42</f>
        <v>10629620</v>
      </c>
      <c r="J42" s="116">
        <v>2115305</v>
      </c>
      <c r="K42" s="116">
        <v>311550</v>
      </c>
      <c r="L42" s="78">
        <v>0</v>
      </c>
      <c r="M42" s="116">
        <v>4546425</v>
      </c>
      <c r="N42" s="78" t="s">
        <v>223</v>
      </c>
      <c r="O42" s="78">
        <v>0</v>
      </c>
      <c r="P42" s="78">
        <v>0</v>
      </c>
      <c r="Q42" s="89" t="s">
        <v>224</v>
      </c>
      <c r="R42" s="105" t="s">
        <v>225</v>
      </c>
      <c r="S42" s="105">
        <f>+R42+Q42+P42+O42+N42+M42</f>
        <v>8608511</v>
      </c>
      <c r="T42" s="87">
        <f t="shared" si="2"/>
        <v>22.831060752877335</v>
      </c>
      <c r="U42" s="288"/>
      <c r="V42" s="289"/>
      <c r="W42" s="290"/>
      <c r="X42" s="291"/>
    </row>
    <row r="43" spans="1:24" ht="15.75">
      <c r="A43" s="255" t="s">
        <v>39</v>
      </c>
      <c r="B43" s="256" t="s">
        <v>155</v>
      </c>
      <c r="C43" s="78">
        <f t="shared" si="9"/>
        <v>24691279</v>
      </c>
      <c r="D43" s="78">
        <f>SUM(D44:D47)</f>
        <v>14915369</v>
      </c>
      <c r="E43" s="78">
        <f>SUM(E44:E47)</f>
        <v>9775910</v>
      </c>
      <c r="F43" s="78">
        <f>SUM(F44:F47)</f>
        <v>830712</v>
      </c>
      <c r="G43" s="78">
        <f>SUM(G44:G47)</f>
        <v>0</v>
      </c>
      <c r="H43" s="78">
        <f t="shared" si="17"/>
        <v>23860567</v>
      </c>
      <c r="I43" s="78">
        <f>SUM(J43:Q43)</f>
        <v>23473060</v>
      </c>
      <c r="J43" s="78">
        <f aca="true" t="shared" si="18" ref="J43:R43">SUM(J44:J47)</f>
        <v>1234779</v>
      </c>
      <c r="K43" s="78">
        <f t="shared" si="18"/>
        <v>208215</v>
      </c>
      <c r="L43" s="78">
        <f t="shared" si="18"/>
        <v>0</v>
      </c>
      <c r="M43" s="78">
        <f t="shared" si="18"/>
        <v>21329200</v>
      </c>
      <c r="N43" s="78">
        <f t="shared" si="18"/>
        <v>193000</v>
      </c>
      <c r="O43" s="78">
        <f t="shared" si="18"/>
        <v>0</v>
      </c>
      <c r="P43" s="78">
        <f t="shared" si="18"/>
        <v>0</v>
      </c>
      <c r="Q43" s="78">
        <f t="shared" si="18"/>
        <v>507866</v>
      </c>
      <c r="R43" s="78">
        <f t="shared" si="18"/>
        <v>387507</v>
      </c>
      <c r="S43" s="292">
        <f aca="true" t="shared" si="19" ref="S43:S76">SUM(M43:R43)</f>
        <v>22417573</v>
      </c>
      <c r="T43" s="87">
        <f t="shared" si="2"/>
        <v>6.147447328980542</v>
      </c>
      <c r="U43" s="288"/>
      <c r="V43" s="289"/>
      <c r="W43" s="290"/>
      <c r="X43" s="291"/>
    </row>
    <row r="44" spans="1:24" ht="15.75">
      <c r="A44" s="88" t="s">
        <v>75</v>
      </c>
      <c r="B44" s="90" t="s">
        <v>154</v>
      </c>
      <c r="C44" s="78">
        <f t="shared" si="9"/>
        <v>3957475</v>
      </c>
      <c r="D44" s="78">
        <v>2449027</v>
      </c>
      <c r="E44" s="116">
        <v>1508448</v>
      </c>
      <c r="F44" s="116">
        <v>237400</v>
      </c>
      <c r="G44" s="78">
        <v>0</v>
      </c>
      <c r="H44" s="78">
        <f t="shared" si="17"/>
        <v>3720075</v>
      </c>
      <c r="I44" s="78">
        <f>+J44+K44+L44+M44+N44+O44+P44+Q44</f>
        <v>3665405</v>
      </c>
      <c r="J44" s="116">
        <v>226650</v>
      </c>
      <c r="K44" s="116">
        <v>79348</v>
      </c>
      <c r="L44" s="116">
        <v>0</v>
      </c>
      <c r="M44" s="116">
        <v>3359407</v>
      </c>
      <c r="N44" s="116">
        <v>0</v>
      </c>
      <c r="O44" s="116">
        <v>0</v>
      </c>
      <c r="P44" s="116">
        <v>0</v>
      </c>
      <c r="Q44" s="116">
        <v>0</v>
      </c>
      <c r="R44" s="117">
        <v>54670</v>
      </c>
      <c r="S44" s="292">
        <f t="shared" si="19"/>
        <v>3414077</v>
      </c>
      <c r="T44" s="87">
        <f t="shared" si="2"/>
        <v>8.348272564696126</v>
      </c>
      <c r="U44" s="288"/>
      <c r="V44" s="289"/>
      <c r="W44" s="290"/>
      <c r="X44" s="291"/>
    </row>
    <row r="45" spans="1:24" ht="15.75">
      <c r="A45" s="88" t="s">
        <v>76</v>
      </c>
      <c r="B45" s="90" t="s">
        <v>153</v>
      </c>
      <c r="C45" s="78">
        <f t="shared" si="9"/>
        <v>9157377</v>
      </c>
      <c r="D45" s="78">
        <v>6166859</v>
      </c>
      <c r="E45" s="116">
        <v>2990518</v>
      </c>
      <c r="F45" s="116">
        <v>0</v>
      </c>
      <c r="G45" s="78">
        <v>0</v>
      </c>
      <c r="H45" s="78">
        <f t="shared" si="17"/>
        <v>9157377</v>
      </c>
      <c r="I45" s="78">
        <f>+J45+K45+L45+M45+N45+O45+P45+Q45</f>
        <v>9103561</v>
      </c>
      <c r="J45" s="116">
        <v>136900</v>
      </c>
      <c r="K45" s="116">
        <v>12826</v>
      </c>
      <c r="L45" s="116">
        <v>0</v>
      </c>
      <c r="M45" s="116">
        <v>8760835</v>
      </c>
      <c r="N45" s="116">
        <v>193000</v>
      </c>
      <c r="O45" s="116">
        <v>0</v>
      </c>
      <c r="P45" s="116">
        <v>0</v>
      </c>
      <c r="Q45" s="116">
        <v>0</v>
      </c>
      <c r="R45" s="117">
        <v>53816</v>
      </c>
      <c r="S45" s="292">
        <f t="shared" si="19"/>
        <v>9007651</v>
      </c>
      <c r="T45" s="87">
        <f aca="true" t="shared" si="20" ref="T45:T76">(((J45+K45+L45))/I45)*100</f>
        <v>1.6446970586564973</v>
      </c>
      <c r="U45" s="288"/>
      <c r="V45" s="289"/>
      <c r="W45" s="290"/>
      <c r="X45" s="291"/>
    </row>
    <row r="46" spans="1:24" ht="15.75">
      <c r="A46" s="88" t="s">
        <v>77</v>
      </c>
      <c r="B46" s="90" t="s">
        <v>152</v>
      </c>
      <c r="C46" s="78">
        <f t="shared" si="9"/>
        <v>6036158</v>
      </c>
      <c r="D46" s="78">
        <v>4038599</v>
      </c>
      <c r="E46" s="116">
        <v>1997559</v>
      </c>
      <c r="F46" s="116">
        <v>103000</v>
      </c>
      <c r="G46" s="78">
        <v>0</v>
      </c>
      <c r="H46" s="78">
        <f t="shared" si="17"/>
        <v>5933158</v>
      </c>
      <c r="I46" s="78">
        <f>+J46+K46+L46+M46+N46+O46+P46+Q46</f>
        <v>5903716</v>
      </c>
      <c r="J46" s="116">
        <v>664429</v>
      </c>
      <c r="K46" s="116">
        <v>89338</v>
      </c>
      <c r="L46" s="116">
        <v>0</v>
      </c>
      <c r="M46" s="116">
        <v>4642083</v>
      </c>
      <c r="N46" s="116">
        <v>0</v>
      </c>
      <c r="O46" s="116">
        <v>0</v>
      </c>
      <c r="P46" s="116">
        <v>0</v>
      </c>
      <c r="Q46" s="116">
        <v>507866</v>
      </c>
      <c r="R46" s="117">
        <v>29442</v>
      </c>
      <c r="S46" s="292">
        <f t="shared" si="19"/>
        <v>5179391</v>
      </c>
      <c r="T46" s="87">
        <f t="shared" si="20"/>
        <v>12.767670396069189</v>
      </c>
      <c r="U46" s="288"/>
      <c r="V46" s="289"/>
      <c r="W46" s="290"/>
      <c r="X46" s="291"/>
    </row>
    <row r="47" spans="1:24" ht="15.75">
      <c r="A47" s="88" t="s">
        <v>78</v>
      </c>
      <c r="B47" s="90" t="s">
        <v>151</v>
      </c>
      <c r="C47" s="78">
        <f aca="true" t="shared" si="21" ref="C47:C76">+D47+E47</f>
        <v>5540269</v>
      </c>
      <c r="D47" s="78">
        <v>2260884</v>
      </c>
      <c r="E47" s="116">
        <v>3279385</v>
      </c>
      <c r="F47" s="116">
        <v>490312</v>
      </c>
      <c r="G47" s="78">
        <v>0</v>
      </c>
      <c r="H47" s="78">
        <f t="shared" si="17"/>
        <v>5049957</v>
      </c>
      <c r="I47" s="78">
        <f>+J47+K47+L47+M47+N47+O47+P47+Q47</f>
        <v>4800378</v>
      </c>
      <c r="J47" s="116">
        <v>206800</v>
      </c>
      <c r="K47" s="116">
        <v>26703</v>
      </c>
      <c r="L47" s="116">
        <v>0</v>
      </c>
      <c r="M47" s="116">
        <v>4566875</v>
      </c>
      <c r="N47" s="116">
        <v>0</v>
      </c>
      <c r="O47" s="116">
        <v>0</v>
      </c>
      <c r="P47" s="116">
        <v>0</v>
      </c>
      <c r="Q47" s="116">
        <v>0</v>
      </c>
      <c r="R47" s="117">
        <v>249579</v>
      </c>
      <c r="S47" s="292">
        <f t="shared" si="19"/>
        <v>4816454</v>
      </c>
      <c r="T47" s="87">
        <f t="shared" si="20"/>
        <v>4.864262772639988</v>
      </c>
      <c r="U47" s="288"/>
      <c r="V47" s="289"/>
      <c r="W47" s="290"/>
      <c r="X47" s="291"/>
    </row>
    <row r="48" spans="1:24" ht="15.75">
      <c r="A48" s="255" t="s">
        <v>40</v>
      </c>
      <c r="B48" s="256" t="s">
        <v>150</v>
      </c>
      <c r="C48" s="78">
        <f t="shared" si="21"/>
        <v>20535811</v>
      </c>
      <c r="D48" s="78">
        <f>SUM(D49:D53)</f>
        <v>11878903</v>
      </c>
      <c r="E48" s="78">
        <f>SUM(E49:E53)</f>
        <v>8656908</v>
      </c>
      <c r="F48" s="78">
        <f>SUM(F49:F53)</f>
        <v>55599</v>
      </c>
      <c r="G48" s="78">
        <f>SUM(G49:G53)</f>
        <v>0</v>
      </c>
      <c r="H48" s="78">
        <f t="shared" si="17"/>
        <v>20480212</v>
      </c>
      <c r="I48" s="78">
        <f>SUM(J48:Q48)</f>
        <v>19427375</v>
      </c>
      <c r="J48" s="78">
        <f>SUM(J49:J53)</f>
        <v>1164314</v>
      </c>
      <c r="K48" s="78">
        <f>SUM(K49:K53)</f>
        <v>151371</v>
      </c>
      <c r="L48" s="78"/>
      <c r="M48" s="78">
        <f aca="true" t="shared" si="22" ref="M48:R48">SUM(M49:M53)</f>
        <v>17679612</v>
      </c>
      <c r="N48" s="78">
        <f t="shared" si="22"/>
        <v>432078</v>
      </c>
      <c r="O48" s="78">
        <f t="shared" si="22"/>
        <v>0</v>
      </c>
      <c r="P48" s="78">
        <f t="shared" si="22"/>
        <v>0</v>
      </c>
      <c r="Q48" s="78">
        <f t="shared" si="22"/>
        <v>0</v>
      </c>
      <c r="R48" s="78">
        <f t="shared" si="22"/>
        <v>1052837</v>
      </c>
      <c r="S48" s="292">
        <f t="shared" si="19"/>
        <v>19164527</v>
      </c>
      <c r="T48" s="87">
        <f t="shared" si="20"/>
        <v>6.772325133992626</v>
      </c>
      <c r="U48" s="288"/>
      <c r="V48" s="289"/>
      <c r="W48" s="290"/>
      <c r="X48" s="291"/>
    </row>
    <row r="49" spans="1:24" ht="15.75">
      <c r="A49" s="88" t="s">
        <v>79</v>
      </c>
      <c r="B49" s="274" t="s">
        <v>149</v>
      </c>
      <c r="C49" s="78">
        <f t="shared" si="21"/>
        <v>473175</v>
      </c>
      <c r="D49" s="78">
        <v>45247</v>
      </c>
      <c r="E49" s="275">
        <v>427928</v>
      </c>
      <c r="F49" s="275">
        <v>1002</v>
      </c>
      <c r="G49" s="275">
        <v>0</v>
      </c>
      <c r="H49" s="78">
        <f t="shared" si="17"/>
        <v>472173</v>
      </c>
      <c r="I49" s="78">
        <f>+J49+K49+L49+M49+N49+O49+P49+Q49</f>
        <v>453086</v>
      </c>
      <c r="J49" s="275">
        <v>261478</v>
      </c>
      <c r="K49" s="275">
        <v>7200</v>
      </c>
      <c r="L49" s="275">
        <v>0</v>
      </c>
      <c r="M49" s="275">
        <v>184408</v>
      </c>
      <c r="N49" s="275">
        <v>0</v>
      </c>
      <c r="O49" s="275">
        <v>0</v>
      </c>
      <c r="P49" s="275">
        <v>0</v>
      </c>
      <c r="Q49" s="275">
        <v>0</v>
      </c>
      <c r="R49" s="275">
        <v>19087</v>
      </c>
      <c r="S49" s="292">
        <f t="shared" si="19"/>
        <v>203495</v>
      </c>
      <c r="T49" s="87">
        <f t="shared" si="20"/>
        <v>59.29955902411462</v>
      </c>
      <c r="U49" s="288"/>
      <c r="V49" s="289"/>
      <c r="W49" s="290"/>
      <c r="X49" s="291"/>
    </row>
    <row r="50" spans="1:24" ht="15.75">
      <c r="A50" s="88" t="s">
        <v>80</v>
      </c>
      <c r="B50" s="276" t="s">
        <v>148</v>
      </c>
      <c r="C50" s="78">
        <f t="shared" si="21"/>
        <v>9216906</v>
      </c>
      <c r="D50" s="78">
        <v>4979848</v>
      </c>
      <c r="E50" s="275">
        <v>4237058</v>
      </c>
      <c r="F50" s="275">
        <v>0</v>
      </c>
      <c r="G50" s="275">
        <v>0</v>
      </c>
      <c r="H50" s="78">
        <f t="shared" si="17"/>
        <v>9216906</v>
      </c>
      <c r="I50" s="78">
        <f>+J50+K50+L50+M50+N50+O50+P50+Q50</f>
        <v>8905196</v>
      </c>
      <c r="J50" s="275">
        <v>123749</v>
      </c>
      <c r="K50" s="275">
        <v>135000</v>
      </c>
      <c r="L50" s="275">
        <v>0</v>
      </c>
      <c r="M50" s="275">
        <v>8646447</v>
      </c>
      <c r="N50" s="275">
        <v>0</v>
      </c>
      <c r="O50" s="275">
        <v>0</v>
      </c>
      <c r="P50" s="275">
        <v>0</v>
      </c>
      <c r="Q50" s="275">
        <v>0</v>
      </c>
      <c r="R50" s="275">
        <v>311710</v>
      </c>
      <c r="S50" s="292">
        <f t="shared" si="19"/>
        <v>8958157</v>
      </c>
      <c r="T50" s="87">
        <f t="shared" si="20"/>
        <v>2.9055957892448405</v>
      </c>
      <c r="U50" s="288"/>
      <c r="V50" s="289"/>
      <c r="W50" s="290"/>
      <c r="X50" s="291"/>
    </row>
    <row r="51" spans="1:24" ht="15.75">
      <c r="A51" s="88" t="s">
        <v>81</v>
      </c>
      <c r="B51" s="277" t="s">
        <v>147</v>
      </c>
      <c r="C51" s="78">
        <f t="shared" si="21"/>
        <v>3532409</v>
      </c>
      <c r="D51" s="78">
        <v>2980727</v>
      </c>
      <c r="E51" s="275">
        <v>551682</v>
      </c>
      <c r="F51" s="275">
        <v>38647</v>
      </c>
      <c r="G51" s="275">
        <v>0</v>
      </c>
      <c r="H51" s="78">
        <f t="shared" si="17"/>
        <v>3493762</v>
      </c>
      <c r="I51" s="78">
        <f>+J51+K51+L51+M51+N51+O51+P51+Q51</f>
        <v>3009617</v>
      </c>
      <c r="J51" s="275">
        <v>321112</v>
      </c>
      <c r="K51" s="275">
        <v>8921</v>
      </c>
      <c r="L51" s="275">
        <v>0</v>
      </c>
      <c r="M51" s="275">
        <v>2679584</v>
      </c>
      <c r="N51" s="275">
        <v>0</v>
      </c>
      <c r="O51" s="275">
        <v>0</v>
      </c>
      <c r="P51" s="275">
        <v>0</v>
      </c>
      <c r="Q51" s="275">
        <v>0</v>
      </c>
      <c r="R51" s="275">
        <v>484145</v>
      </c>
      <c r="S51" s="292">
        <f t="shared" si="19"/>
        <v>3163729</v>
      </c>
      <c r="T51" s="87">
        <f t="shared" si="20"/>
        <v>10.965946829779337</v>
      </c>
      <c r="U51" s="288"/>
      <c r="V51" s="289"/>
      <c r="W51" s="290"/>
      <c r="X51" s="291"/>
    </row>
    <row r="52" spans="1:24" ht="15.75">
      <c r="A52" s="88" t="s">
        <v>146</v>
      </c>
      <c r="B52" s="276" t="s">
        <v>145</v>
      </c>
      <c r="C52" s="78">
        <f t="shared" si="21"/>
        <v>3240851</v>
      </c>
      <c r="D52" s="78">
        <v>1335227</v>
      </c>
      <c r="E52" s="275">
        <v>1905624</v>
      </c>
      <c r="F52" s="275">
        <v>950</v>
      </c>
      <c r="G52" s="275">
        <v>0</v>
      </c>
      <c r="H52" s="78">
        <f t="shared" si="17"/>
        <v>3239901</v>
      </c>
      <c r="I52" s="78">
        <f>+J52+K52+L52+M52+N52+O52+P52+Q52</f>
        <v>3074204</v>
      </c>
      <c r="J52" s="275">
        <v>325897</v>
      </c>
      <c r="K52" s="275">
        <v>0</v>
      </c>
      <c r="L52" s="275">
        <v>0</v>
      </c>
      <c r="M52" s="275">
        <v>2748307</v>
      </c>
      <c r="N52" s="275">
        <v>0</v>
      </c>
      <c r="O52" s="275">
        <v>0</v>
      </c>
      <c r="P52" s="275">
        <v>0</v>
      </c>
      <c r="Q52" s="275">
        <v>0</v>
      </c>
      <c r="R52" s="275">
        <v>165697</v>
      </c>
      <c r="S52" s="292">
        <f t="shared" si="19"/>
        <v>2914004</v>
      </c>
      <c r="T52" s="87">
        <f t="shared" si="20"/>
        <v>10.601020621923594</v>
      </c>
      <c r="U52" s="288"/>
      <c r="V52" s="289"/>
      <c r="W52" s="290"/>
      <c r="X52" s="291"/>
    </row>
    <row r="53" spans="1:24" ht="15.75">
      <c r="A53" s="88" t="s">
        <v>144</v>
      </c>
      <c r="B53" s="277" t="s">
        <v>143</v>
      </c>
      <c r="C53" s="78">
        <f t="shared" si="21"/>
        <v>4072470</v>
      </c>
      <c r="D53" s="78">
        <v>2537854</v>
      </c>
      <c r="E53" s="275">
        <v>1534616</v>
      </c>
      <c r="F53" s="275">
        <v>15000</v>
      </c>
      <c r="G53" s="275">
        <v>0</v>
      </c>
      <c r="H53" s="78">
        <f t="shared" si="17"/>
        <v>4057470</v>
      </c>
      <c r="I53" s="78">
        <f aca="true" t="shared" si="23" ref="I53:I76">SUM(J53:Q53)</f>
        <v>3985272</v>
      </c>
      <c r="J53" s="275">
        <v>132078</v>
      </c>
      <c r="K53" s="275">
        <v>250</v>
      </c>
      <c r="L53" s="275">
        <v>0</v>
      </c>
      <c r="M53" s="275">
        <v>3420866</v>
      </c>
      <c r="N53" s="275">
        <v>432078</v>
      </c>
      <c r="O53" s="275">
        <v>0</v>
      </c>
      <c r="P53" s="275">
        <v>0</v>
      </c>
      <c r="Q53" s="275">
        <v>0</v>
      </c>
      <c r="R53" s="275">
        <v>72198</v>
      </c>
      <c r="S53" s="292">
        <f t="shared" si="19"/>
        <v>3925142</v>
      </c>
      <c r="T53" s="87">
        <f t="shared" si="20"/>
        <v>3.3204258078244093</v>
      </c>
      <c r="U53" s="288"/>
      <c r="V53" s="289"/>
      <c r="W53" s="290"/>
      <c r="X53" s="291"/>
    </row>
    <row r="54" spans="1:24" ht="15.75">
      <c r="A54" s="255" t="s">
        <v>41</v>
      </c>
      <c r="B54" s="256" t="s">
        <v>142</v>
      </c>
      <c r="C54" s="78">
        <f t="shared" si="21"/>
        <v>52387062</v>
      </c>
      <c r="D54" s="78">
        <f>SUM(D55:D59)</f>
        <v>39875948</v>
      </c>
      <c r="E54" s="78">
        <f>SUM(E55:E59)</f>
        <v>12511114</v>
      </c>
      <c r="F54" s="78">
        <f>SUM(F55:F59)</f>
        <v>108800</v>
      </c>
      <c r="G54" s="78">
        <f>SUM(G55:G59)</f>
        <v>0</v>
      </c>
      <c r="H54" s="78">
        <f t="shared" si="17"/>
        <v>52278262</v>
      </c>
      <c r="I54" s="78">
        <f t="shared" si="23"/>
        <v>49417722</v>
      </c>
      <c r="J54" s="78">
        <f>SUM(J55:J59)</f>
        <v>2007779</v>
      </c>
      <c r="K54" s="78">
        <f>SUM(K55:K59)</f>
        <v>235714</v>
      </c>
      <c r="L54" s="78"/>
      <c r="M54" s="78">
        <f aca="true" t="shared" si="24" ref="M54:R54">SUM(M55:M59)</f>
        <v>47068629</v>
      </c>
      <c r="N54" s="78">
        <f t="shared" si="24"/>
        <v>105600</v>
      </c>
      <c r="O54" s="78">
        <f t="shared" si="24"/>
        <v>0</v>
      </c>
      <c r="P54" s="78">
        <f t="shared" si="24"/>
        <v>0</v>
      </c>
      <c r="Q54" s="78">
        <f t="shared" si="24"/>
        <v>0</v>
      </c>
      <c r="R54" s="78">
        <f t="shared" si="24"/>
        <v>2860540</v>
      </c>
      <c r="S54" s="292">
        <f t="shared" si="19"/>
        <v>50034769</v>
      </c>
      <c r="T54" s="87">
        <f t="shared" si="20"/>
        <v>4.539855155605918</v>
      </c>
      <c r="U54" s="288"/>
      <c r="V54" s="289"/>
      <c r="W54" s="290"/>
      <c r="X54" s="291"/>
    </row>
    <row r="55" spans="1:24" ht="15.75">
      <c r="A55" s="88" t="s">
        <v>141</v>
      </c>
      <c r="B55" s="90" t="s">
        <v>140</v>
      </c>
      <c r="C55" s="78">
        <f t="shared" si="21"/>
        <v>2572390</v>
      </c>
      <c r="D55" s="78">
        <v>2305748</v>
      </c>
      <c r="E55" s="278">
        <v>266642</v>
      </c>
      <c r="F55" s="78">
        <v>0</v>
      </c>
      <c r="G55" s="78">
        <v>0</v>
      </c>
      <c r="H55" s="78">
        <f t="shared" si="17"/>
        <v>2572390</v>
      </c>
      <c r="I55" s="78">
        <f t="shared" si="23"/>
        <v>2564543</v>
      </c>
      <c r="J55" s="278">
        <v>59126</v>
      </c>
      <c r="K55" s="78">
        <v>0</v>
      </c>
      <c r="L55" s="78">
        <v>0</v>
      </c>
      <c r="M55" s="278">
        <v>2505417</v>
      </c>
      <c r="N55" s="78">
        <v>0</v>
      </c>
      <c r="O55" s="78">
        <v>0</v>
      </c>
      <c r="P55" s="78">
        <v>0</v>
      </c>
      <c r="Q55" s="78">
        <v>0</v>
      </c>
      <c r="R55" s="279">
        <v>7847</v>
      </c>
      <c r="S55" s="292">
        <f t="shared" si="19"/>
        <v>2513264</v>
      </c>
      <c r="T55" s="87">
        <f t="shared" si="20"/>
        <v>2.3055179811763735</v>
      </c>
      <c r="U55" s="288"/>
      <c r="V55" s="289"/>
      <c r="W55" s="290"/>
      <c r="X55" s="291"/>
    </row>
    <row r="56" spans="1:24" ht="15.75">
      <c r="A56" s="88" t="s">
        <v>139</v>
      </c>
      <c r="B56" s="90" t="s">
        <v>200</v>
      </c>
      <c r="C56" s="78">
        <f t="shared" si="21"/>
        <v>19739764</v>
      </c>
      <c r="D56" s="78">
        <v>16985136</v>
      </c>
      <c r="E56" s="278">
        <v>2754628</v>
      </c>
      <c r="F56" s="78">
        <v>0</v>
      </c>
      <c r="G56" s="78">
        <v>0</v>
      </c>
      <c r="H56" s="78">
        <f t="shared" si="17"/>
        <v>19739764</v>
      </c>
      <c r="I56" s="78">
        <f t="shared" si="23"/>
        <v>19588421</v>
      </c>
      <c r="J56" s="278">
        <v>546241</v>
      </c>
      <c r="K56" s="278">
        <v>200669</v>
      </c>
      <c r="L56" s="78">
        <v>0</v>
      </c>
      <c r="M56" s="278">
        <v>18841511</v>
      </c>
      <c r="N56" s="78">
        <v>0</v>
      </c>
      <c r="O56" s="78">
        <v>0</v>
      </c>
      <c r="P56" s="78">
        <v>0</v>
      </c>
      <c r="Q56" s="78">
        <v>0</v>
      </c>
      <c r="R56" s="279">
        <v>151343</v>
      </c>
      <c r="S56" s="292">
        <f t="shared" si="19"/>
        <v>18992854</v>
      </c>
      <c r="T56" s="87">
        <f t="shared" si="20"/>
        <v>3.813017904812236</v>
      </c>
      <c r="U56" s="288"/>
      <c r="V56" s="289"/>
      <c r="W56" s="290"/>
      <c r="X56" s="291"/>
    </row>
    <row r="57" spans="1:24" ht="15.75">
      <c r="A57" s="88" t="s">
        <v>137</v>
      </c>
      <c r="B57" s="90" t="s">
        <v>136</v>
      </c>
      <c r="C57" s="78">
        <f t="shared" si="21"/>
        <v>10640604</v>
      </c>
      <c r="D57" s="78">
        <v>9024343</v>
      </c>
      <c r="E57" s="278">
        <v>1616261</v>
      </c>
      <c r="F57" s="78">
        <v>108800</v>
      </c>
      <c r="G57" s="78">
        <v>0</v>
      </c>
      <c r="H57" s="78">
        <f t="shared" si="17"/>
        <v>10531804</v>
      </c>
      <c r="I57" s="78">
        <f t="shared" si="23"/>
        <v>10450514</v>
      </c>
      <c r="J57" s="278">
        <v>257501</v>
      </c>
      <c r="K57" s="78">
        <v>0</v>
      </c>
      <c r="L57" s="78">
        <v>0</v>
      </c>
      <c r="M57" s="278">
        <v>10087413</v>
      </c>
      <c r="N57" s="278">
        <v>105600</v>
      </c>
      <c r="O57" s="78">
        <v>0</v>
      </c>
      <c r="P57" s="78">
        <v>0</v>
      </c>
      <c r="Q57" s="78">
        <v>0</v>
      </c>
      <c r="R57" s="279">
        <v>81290</v>
      </c>
      <c r="S57" s="292">
        <f t="shared" si="19"/>
        <v>10274303</v>
      </c>
      <c r="T57" s="87">
        <f t="shared" si="20"/>
        <v>2.4640032059667116</v>
      </c>
      <c r="U57" s="288"/>
      <c r="V57" s="289"/>
      <c r="W57" s="290"/>
      <c r="X57" s="291"/>
    </row>
    <row r="58" spans="1:24" ht="15.75">
      <c r="A58" s="88" t="s">
        <v>135</v>
      </c>
      <c r="B58" s="90" t="s">
        <v>134</v>
      </c>
      <c r="C58" s="78">
        <f t="shared" si="21"/>
        <v>3339559</v>
      </c>
      <c r="D58" s="78">
        <v>2811183</v>
      </c>
      <c r="E58" s="278">
        <v>528376</v>
      </c>
      <c r="F58" s="78">
        <v>0</v>
      </c>
      <c r="G58" s="78">
        <v>0</v>
      </c>
      <c r="H58" s="78">
        <f t="shared" si="17"/>
        <v>3339559</v>
      </c>
      <c r="I58" s="78">
        <f t="shared" si="23"/>
        <v>3284839</v>
      </c>
      <c r="J58" s="278">
        <v>883587</v>
      </c>
      <c r="K58" s="78">
        <v>0</v>
      </c>
      <c r="L58" s="78">
        <v>0</v>
      </c>
      <c r="M58" s="278">
        <v>2401252</v>
      </c>
      <c r="N58" s="78">
        <v>0</v>
      </c>
      <c r="O58" s="78">
        <v>0</v>
      </c>
      <c r="P58" s="78">
        <v>0</v>
      </c>
      <c r="Q58" s="78">
        <v>0</v>
      </c>
      <c r="R58" s="279">
        <v>54720</v>
      </c>
      <c r="S58" s="292">
        <f t="shared" si="19"/>
        <v>2455972</v>
      </c>
      <c r="T58" s="87">
        <f t="shared" si="20"/>
        <v>26.898943905622165</v>
      </c>
      <c r="U58" s="288"/>
      <c r="V58" s="289"/>
      <c r="W58" s="290"/>
      <c r="X58" s="291"/>
    </row>
    <row r="59" spans="1:24" ht="15.75">
      <c r="A59" s="88" t="s">
        <v>133</v>
      </c>
      <c r="B59" s="90" t="s">
        <v>132</v>
      </c>
      <c r="C59" s="78">
        <f t="shared" si="21"/>
        <v>16094745</v>
      </c>
      <c r="D59" s="78">
        <v>8749538</v>
      </c>
      <c r="E59" s="278">
        <v>7345207</v>
      </c>
      <c r="F59" s="78">
        <v>0</v>
      </c>
      <c r="G59" s="78">
        <v>0</v>
      </c>
      <c r="H59" s="78">
        <f t="shared" si="17"/>
        <v>16094745</v>
      </c>
      <c r="I59" s="78">
        <f t="shared" si="23"/>
        <v>13529405</v>
      </c>
      <c r="J59" s="278">
        <v>261324</v>
      </c>
      <c r="K59" s="278">
        <v>35045</v>
      </c>
      <c r="L59" s="78">
        <v>0</v>
      </c>
      <c r="M59" s="278">
        <v>13233036</v>
      </c>
      <c r="N59" s="78">
        <v>0</v>
      </c>
      <c r="O59" s="78">
        <v>0</v>
      </c>
      <c r="P59" s="78">
        <v>0</v>
      </c>
      <c r="Q59" s="78">
        <v>0</v>
      </c>
      <c r="R59" s="279">
        <v>2565340</v>
      </c>
      <c r="S59" s="292">
        <f t="shared" si="19"/>
        <v>15798376</v>
      </c>
      <c r="T59" s="87">
        <f t="shared" si="20"/>
        <v>2.190554573538156</v>
      </c>
      <c r="U59" s="288"/>
      <c r="V59" s="289"/>
      <c r="W59" s="290"/>
      <c r="X59" s="291"/>
    </row>
    <row r="60" spans="1:24" ht="15.75">
      <c r="A60" s="255" t="s">
        <v>42</v>
      </c>
      <c r="B60" s="256" t="s">
        <v>131</v>
      </c>
      <c r="C60" s="78">
        <f t="shared" si="21"/>
        <v>27757547</v>
      </c>
      <c r="D60" s="78">
        <f>SUM(D61:D65)</f>
        <v>19955824</v>
      </c>
      <c r="E60" s="78">
        <f>SUM(E61:E65)</f>
        <v>7801723</v>
      </c>
      <c r="F60" s="78">
        <f>SUM(F61:F65)</f>
        <v>377480</v>
      </c>
      <c r="G60" s="78">
        <f>SUM(G61:G65)</f>
        <v>0</v>
      </c>
      <c r="H60" s="78">
        <f t="shared" si="17"/>
        <v>27380067</v>
      </c>
      <c r="I60" s="78">
        <f t="shared" si="23"/>
        <v>24899536</v>
      </c>
      <c r="J60" s="78">
        <f>SUM(J61:J65)</f>
        <v>1080306</v>
      </c>
      <c r="K60" s="78">
        <f>SUM(K61:K65)</f>
        <v>32320</v>
      </c>
      <c r="L60" s="78"/>
      <c r="M60" s="78">
        <f aca="true" t="shared" si="25" ref="M60:R60">SUM(M61:M65)</f>
        <v>20960619</v>
      </c>
      <c r="N60" s="78">
        <f t="shared" si="25"/>
        <v>1828335</v>
      </c>
      <c r="O60" s="78">
        <f t="shared" si="25"/>
        <v>0</v>
      </c>
      <c r="P60" s="78">
        <f t="shared" si="25"/>
        <v>0</v>
      </c>
      <c r="Q60" s="78">
        <f t="shared" si="25"/>
        <v>997956</v>
      </c>
      <c r="R60" s="78">
        <f t="shared" si="25"/>
        <v>2480531</v>
      </c>
      <c r="S60" s="292">
        <f t="shared" si="19"/>
        <v>26267441</v>
      </c>
      <c r="T60" s="87">
        <f t="shared" si="20"/>
        <v>4.468460777743006</v>
      </c>
      <c r="U60" s="288"/>
      <c r="V60" s="289"/>
      <c r="W60" s="290"/>
      <c r="X60" s="291"/>
    </row>
    <row r="61" spans="1:24" ht="15.75">
      <c r="A61" s="88" t="s">
        <v>130</v>
      </c>
      <c r="B61" s="90" t="s">
        <v>129</v>
      </c>
      <c r="C61" s="78">
        <f t="shared" si="21"/>
        <v>5962713</v>
      </c>
      <c r="D61" s="78">
        <v>3361209</v>
      </c>
      <c r="E61" s="78">
        <v>2601504</v>
      </c>
      <c r="F61" s="78">
        <v>96900</v>
      </c>
      <c r="G61" s="78">
        <v>0</v>
      </c>
      <c r="H61" s="78">
        <f t="shared" si="17"/>
        <v>5865813</v>
      </c>
      <c r="I61" s="78">
        <f t="shared" si="23"/>
        <v>5064046</v>
      </c>
      <c r="J61" s="78">
        <v>114417</v>
      </c>
      <c r="K61" s="78">
        <v>9450</v>
      </c>
      <c r="L61" s="78">
        <v>0</v>
      </c>
      <c r="M61" s="78">
        <v>4818772</v>
      </c>
      <c r="N61" s="78">
        <v>0</v>
      </c>
      <c r="O61" s="78">
        <v>0</v>
      </c>
      <c r="P61" s="78">
        <v>0</v>
      </c>
      <c r="Q61" s="78">
        <v>121407</v>
      </c>
      <c r="R61" s="78">
        <v>801767</v>
      </c>
      <c r="S61" s="292">
        <f t="shared" si="19"/>
        <v>5741946</v>
      </c>
      <c r="T61" s="87">
        <f t="shared" si="20"/>
        <v>2.4460085868098354</v>
      </c>
      <c r="U61" s="288"/>
      <c r="V61" s="289"/>
      <c r="W61" s="290"/>
      <c r="X61" s="291"/>
    </row>
    <row r="62" spans="1:24" ht="15.75">
      <c r="A62" s="88" t="s">
        <v>128</v>
      </c>
      <c r="B62" s="90" t="s">
        <v>127</v>
      </c>
      <c r="C62" s="78">
        <f t="shared" si="21"/>
        <v>6643681</v>
      </c>
      <c r="D62" s="78">
        <v>5251240</v>
      </c>
      <c r="E62" s="78">
        <v>1392441</v>
      </c>
      <c r="F62" s="78">
        <v>0</v>
      </c>
      <c r="G62" s="78">
        <v>0</v>
      </c>
      <c r="H62" s="78">
        <f t="shared" si="17"/>
        <v>6643681</v>
      </c>
      <c r="I62" s="78">
        <f t="shared" si="23"/>
        <v>6590963</v>
      </c>
      <c r="J62" s="78">
        <v>498245</v>
      </c>
      <c r="K62" s="78">
        <v>4822</v>
      </c>
      <c r="L62" s="78">
        <v>0</v>
      </c>
      <c r="M62" s="78">
        <v>5679453</v>
      </c>
      <c r="N62" s="78">
        <v>83737</v>
      </c>
      <c r="O62" s="78">
        <v>0</v>
      </c>
      <c r="P62" s="78">
        <v>0</v>
      </c>
      <c r="Q62" s="78">
        <v>324706</v>
      </c>
      <c r="R62" s="78">
        <v>52718</v>
      </c>
      <c r="S62" s="292">
        <f t="shared" si="19"/>
        <v>6140614</v>
      </c>
      <c r="T62" s="87">
        <f t="shared" si="20"/>
        <v>7.632678259610925</v>
      </c>
      <c r="U62" s="288"/>
      <c r="V62" s="289"/>
      <c r="W62" s="290"/>
      <c r="X62" s="291"/>
    </row>
    <row r="63" spans="1:24" ht="15.75">
      <c r="A63" s="88" t="s">
        <v>126</v>
      </c>
      <c r="B63" s="90" t="s">
        <v>125</v>
      </c>
      <c r="C63" s="78">
        <f t="shared" si="21"/>
        <v>2086674</v>
      </c>
      <c r="D63" s="78">
        <v>1473333</v>
      </c>
      <c r="E63" s="78">
        <v>613341</v>
      </c>
      <c r="F63" s="78">
        <v>73500</v>
      </c>
      <c r="G63" s="78">
        <v>0</v>
      </c>
      <c r="H63" s="78">
        <f t="shared" si="17"/>
        <v>2013174</v>
      </c>
      <c r="I63" s="78">
        <f t="shared" si="23"/>
        <v>1654427</v>
      </c>
      <c r="J63" s="78">
        <v>56688</v>
      </c>
      <c r="K63" s="78">
        <v>1224</v>
      </c>
      <c r="L63" s="78">
        <v>0</v>
      </c>
      <c r="M63" s="78">
        <v>493345</v>
      </c>
      <c r="N63" s="78">
        <v>1103170</v>
      </c>
      <c r="O63" s="78">
        <v>0</v>
      </c>
      <c r="P63" s="78">
        <v>0</v>
      </c>
      <c r="Q63" s="78">
        <v>0</v>
      </c>
      <c r="R63" s="78">
        <v>358747</v>
      </c>
      <c r="S63" s="292">
        <f t="shared" si="19"/>
        <v>1955262</v>
      </c>
      <c r="T63" s="87">
        <f t="shared" si="20"/>
        <v>3.5004264316285942</v>
      </c>
      <c r="U63" s="288"/>
      <c r="V63" s="289"/>
      <c r="W63" s="290"/>
      <c r="X63" s="291"/>
    </row>
    <row r="64" spans="1:24" ht="15.75">
      <c r="A64" s="88" t="s">
        <v>124</v>
      </c>
      <c r="B64" s="90" t="s">
        <v>123</v>
      </c>
      <c r="C64" s="78">
        <f t="shared" si="21"/>
        <v>4675556</v>
      </c>
      <c r="D64" s="78">
        <v>3193526</v>
      </c>
      <c r="E64" s="78">
        <v>1482030</v>
      </c>
      <c r="F64" s="78">
        <v>0</v>
      </c>
      <c r="G64" s="78">
        <v>0</v>
      </c>
      <c r="H64" s="78">
        <f t="shared" si="17"/>
        <v>4675556</v>
      </c>
      <c r="I64" s="78">
        <f t="shared" si="23"/>
        <v>4465425</v>
      </c>
      <c r="J64" s="78">
        <v>229792</v>
      </c>
      <c r="K64" s="78">
        <v>24</v>
      </c>
      <c r="L64" s="78">
        <v>0</v>
      </c>
      <c r="M64" s="78">
        <v>3323524</v>
      </c>
      <c r="N64" s="78">
        <v>581652</v>
      </c>
      <c r="O64" s="78">
        <v>0</v>
      </c>
      <c r="P64" s="78">
        <v>0</v>
      </c>
      <c r="Q64" s="78">
        <v>330433</v>
      </c>
      <c r="R64" s="78">
        <v>210131</v>
      </c>
      <c r="S64" s="292">
        <f t="shared" si="19"/>
        <v>4445740</v>
      </c>
      <c r="T64" s="87">
        <f t="shared" si="20"/>
        <v>5.146564996612865</v>
      </c>
      <c r="U64" s="288"/>
      <c r="V64" s="289"/>
      <c r="W64" s="290"/>
      <c r="X64" s="291"/>
    </row>
    <row r="65" spans="1:24" ht="15.75">
      <c r="A65" s="88" t="s">
        <v>122</v>
      </c>
      <c r="B65" s="90" t="s">
        <v>121</v>
      </c>
      <c r="C65" s="78">
        <f t="shared" si="21"/>
        <v>8388923</v>
      </c>
      <c r="D65" s="78">
        <v>6676516</v>
      </c>
      <c r="E65" s="78">
        <v>1712407</v>
      </c>
      <c r="F65" s="78">
        <v>207080</v>
      </c>
      <c r="G65" s="78">
        <v>0</v>
      </c>
      <c r="H65" s="78">
        <f t="shared" si="17"/>
        <v>8181843</v>
      </c>
      <c r="I65" s="78">
        <f t="shared" si="23"/>
        <v>7124675</v>
      </c>
      <c r="J65" s="78">
        <v>181164</v>
      </c>
      <c r="K65" s="78">
        <v>16800</v>
      </c>
      <c r="L65" s="78">
        <v>0</v>
      </c>
      <c r="M65" s="78">
        <v>6645525</v>
      </c>
      <c r="N65" s="78">
        <v>59776</v>
      </c>
      <c r="O65" s="78">
        <v>0</v>
      </c>
      <c r="P65" s="78">
        <v>0</v>
      </c>
      <c r="Q65" s="78">
        <v>221410</v>
      </c>
      <c r="R65" s="78">
        <v>1057168</v>
      </c>
      <c r="S65" s="292">
        <f t="shared" si="19"/>
        <v>7983879</v>
      </c>
      <c r="T65" s="87">
        <f t="shared" si="20"/>
        <v>2.7785688470000385</v>
      </c>
      <c r="U65" s="288"/>
      <c r="V65" s="289"/>
      <c r="W65" s="290"/>
      <c r="X65" s="291"/>
    </row>
    <row r="66" spans="1:24" ht="15.75">
      <c r="A66" s="255" t="s">
        <v>43</v>
      </c>
      <c r="B66" s="256" t="s">
        <v>120</v>
      </c>
      <c r="C66" s="78">
        <f t="shared" si="21"/>
        <v>105335869</v>
      </c>
      <c r="D66" s="78">
        <f>SUM(D67:D71)</f>
        <v>85886555</v>
      </c>
      <c r="E66" s="78">
        <f>SUM(E67:E71)</f>
        <v>19449314</v>
      </c>
      <c r="F66" s="78">
        <f>SUM(F67:F71)</f>
        <v>7100</v>
      </c>
      <c r="G66" s="78">
        <f>SUM(G67:G71)</f>
        <v>0</v>
      </c>
      <c r="H66" s="78">
        <f t="shared" si="17"/>
        <v>105328769</v>
      </c>
      <c r="I66" s="78">
        <f t="shared" si="23"/>
        <v>103070751</v>
      </c>
      <c r="J66" s="78">
        <f>SUM(J67:J71)</f>
        <v>2396075</v>
      </c>
      <c r="K66" s="78">
        <f>SUM(K67:K71)</f>
        <v>412350</v>
      </c>
      <c r="L66" s="78"/>
      <c r="M66" s="78">
        <f aca="true" t="shared" si="26" ref="M66:R66">SUM(M67:M71)</f>
        <v>100118559</v>
      </c>
      <c r="N66" s="78">
        <f t="shared" si="26"/>
        <v>52193</v>
      </c>
      <c r="O66" s="78">
        <f t="shared" si="26"/>
        <v>32850</v>
      </c>
      <c r="P66" s="78">
        <f t="shared" si="26"/>
        <v>0</v>
      </c>
      <c r="Q66" s="78">
        <f t="shared" si="26"/>
        <v>58724</v>
      </c>
      <c r="R66" s="78">
        <f t="shared" si="26"/>
        <v>2258018</v>
      </c>
      <c r="S66" s="292">
        <f t="shared" si="19"/>
        <v>102520344</v>
      </c>
      <c r="T66" s="87">
        <f t="shared" si="20"/>
        <v>2.724754571740726</v>
      </c>
      <c r="U66" s="288"/>
      <c r="V66" s="289"/>
      <c r="W66" s="290"/>
      <c r="X66" s="291"/>
    </row>
    <row r="67" spans="1:24" ht="15.75">
      <c r="A67" s="88" t="s">
        <v>119</v>
      </c>
      <c r="B67" s="280" t="s">
        <v>118</v>
      </c>
      <c r="C67" s="78">
        <f t="shared" si="21"/>
        <v>15434961</v>
      </c>
      <c r="D67" s="281">
        <f>308818+13854117</f>
        <v>14162935</v>
      </c>
      <c r="E67" s="281">
        <f>1186726+85300</f>
        <v>1272026</v>
      </c>
      <c r="F67" s="281">
        <v>0</v>
      </c>
      <c r="G67" s="78">
        <v>0</v>
      </c>
      <c r="H67" s="78">
        <f t="shared" si="17"/>
        <v>15434961</v>
      </c>
      <c r="I67" s="78">
        <f t="shared" si="23"/>
        <v>15357637</v>
      </c>
      <c r="J67" s="281">
        <f>570002</f>
        <v>570002</v>
      </c>
      <c r="K67" s="281">
        <f>4011</f>
        <v>4011</v>
      </c>
      <c r="L67" s="281">
        <v>0</v>
      </c>
      <c r="M67" s="281">
        <f>14746686</f>
        <v>14746686</v>
      </c>
      <c r="N67" s="281">
        <v>36938</v>
      </c>
      <c r="O67" s="281">
        <v>0</v>
      </c>
      <c r="P67" s="281">
        <v>0</v>
      </c>
      <c r="Q67" s="281">
        <v>0</v>
      </c>
      <c r="R67" s="281">
        <v>77324</v>
      </c>
      <c r="S67" s="292">
        <f t="shared" si="19"/>
        <v>14860948</v>
      </c>
      <c r="T67" s="87">
        <f t="shared" si="20"/>
        <v>3.7376388047197624</v>
      </c>
      <c r="U67" s="288"/>
      <c r="V67" s="289"/>
      <c r="W67" s="290"/>
      <c r="X67" s="291"/>
    </row>
    <row r="68" spans="1:24" ht="15.75">
      <c r="A68" s="88" t="s">
        <v>117</v>
      </c>
      <c r="B68" s="280" t="s">
        <v>138</v>
      </c>
      <c r="C68" s="78">
        <f t="shared" si="21"/>
        <v>12844681</v>
      </c>
      <c r="D68" s="281">
        <f>64203+2677017</f>
        <v>2741220</v>
      </c>
      <c r="E68" s="281">
        <f>9731943+371518</f>
        <v>10103461</v>
      </c>
      <c r="F68" s="281">
        <v>0</v>
      </c>
      <c r="G68" s="78">
        <v>0</v>
      </c>
      <c r="H68" s="78">
        <f t="shared" si="17"/>
        <v>12844681</v>
      </c>
      <c r="I68" s="78">
        <f t="shared" si="23"/>
        <v>11583082</v>
      </c>
      <c r="J68" s="281">
        <f>189902+91309</f>
        <v>281211</v>
      </c>
      <c r="K68" s="281">
        <f>6756</f>
        <v>6756</v>
      </c>
      <c r="L68" s="281">
        <v>0</v>
      </c>
      <c r="M68" s="281">
        <f>11091201+203914</f>
        <v>11295115</v>
      </c>
      <c r="N68" s="281">
        <v>0</v>
      </c>
      <c r="O68" s="281">
        <v>0</v>
      </c>
      <c r="P68" s="281">
        <v>0</v>
      </c>
      <c r="Q68" s="281">
        <v>0</v>
      </c>
      <c r="R68" s="281">
        <f>41905+1219694</f>
        <v>1261599</v>
      </c>
      <c r="S68" s="292">
        <f t="shared" si="19"/>
        <v>12556714</v>
      </c>
      <c r="T68" s="87">
        <f t="shared" si="20"/>
        <v>2.486099986169484</v>
      </c>
      <c r="U68" s="288"/>
      <c r="V68" s="289"/>
      <c r="W68" s="290"/>
      <c r="X68" s="291"/>
    </row>
    <row r="69" spans="1:24" ht="15.75">
      <c r="A69" s="88" t="s">
        <v>116</v>
      </c>
      <c r="B69" s="280" t="s">
        <v>115</v>
      </c>
      <c r="C69" s="78">
        <f t="shared" si="21"/>
        <v>12507288</v>
      </c>
      <c r="D69" s="281">
        <f>104665+10906743</f>
        <v>11011408</v>
      </c>
      <c r="E69" s="281">
        <f>1384698+111182</f>
        <v>1495880</v>
      </c>
      <c r="F69" s="281">
        <v>7100</v>
      </c>
      <c r="G69" s="78">
        <v>0</v>
      </c>
      <c r="H69" s="78">
        <f t="shared" si="17"/>
        <v>12500188</v>
      </c>
      <c r="I69" s="78">
        <f t="shared" si="23"/>
        <v>11673351</v>
      </c>
      <c r="J69" s="281">
        <f>57262+351257</f>
        <v>408519</v>
      </c>
      <c r="K69" s="281">
        <f>203844</f>
        <v>203844</v>
      </c>
      <c r="L69" s="281">
        <v>0</v>
      </c>
      <c r="M69" s="281">
        <f>10956674+71464</f>
        <v>11028138</v>
      </c>
      <c r="N69" s="281">
        <v>0</v>
      </c>
      <c r="O69" s="281">
        <v>32850</v>
      </c>
      <c r="P69" s="281">
        <v>0</v>
      </c>
      <c r="Q69" s="281">
        <v>0</v>
      </c>
      <c r="R69" s="281">
        <f>80020+746817</f>
        <v>826837</v>
      </c>
      <c r="S69" s="292">
        <f t="shared" si="19"/>
        <v>11887825</v>
      </c>
      <c r="T69" s="87">
        <f t="shared" si="20"/>
        <v>5.245820159095704</v>
      </c>
      <c r="U69" s="288"/>
      <c r="V69" s="289"/>
      <c r="W69" s="290"/>
      <c r="X69" s="291"/>
    </row>
    <row r="70" spans="1:24" ht="15.75">
      <c r="A70" s="88" t="s">
        <v>114</v>
      </c>
      <c r="B70" s="280" t="s">
        <v>113</v>
      </c>
      <c r="C70" s="78">
        <f t="shared" si="21"/>
        <v>58601256</v>
      </c>
      <c r="D70" s="281">
        <f>260595+55060706</f>
        <v>55321301</v>
      </c>
      <c r="E70" s="281">
        <f>3122151+157804</f>
        <v>3279955</v>
      </c>
      <c r="F70" s="281">
        <v>0</v>
      </c>
      <c r="G70" s="78">
        <v>0</v>
      </c>
      <c r="H70" s="78">
        <f t="shared" si="17"/>
        <v>58601256</v>
      </c>
      <c r="I70" s="78">
        <f t="shared" si="23"/>
        <v>58553837</v>
      </c>
      <c r="J70" s="281">
        <v>647035</v>
      </c>
      <c r="K70" s="281">
        <v>139895</v>
      </c>
      <c r="L70" s="281">
        <v>0</v>
      </c>
      <c r="M70" s="281">
        <v>57766907</v>
      </c>
      <c r="N70" s="281">
        <v>0</v>
      </c>
      <c r="O70" s="281">
        <v>0</v>
      </c>
      <c r="P70" s="281">
        <v>0</v>
      </c>
      <c r="Q70" s="281">
        <v>0</v>
      </c>
      <c r="R70" s="281">
        <v>47419</v>
      </c>
      <c r="S70" s="292">
        <f t="shared" si="19"/>
        <v>57814326</v>
      </c>
      <c r="T70" s="87">
        <f t="shared" si="20"/>
        <v>1.3439426693762186</v>
      </c>
      <c r="U70" s="288"/>
      <c r="V70" s="289"/>
      <c r="W70" s="290"/>
      <c r="X70" s="291"/>
    </row>
    <row r="71" spans="1:24" ht="15.75">
      <c r="A71" s="88" t="s">
        <v>112</v>
      </c>
      <c r="B71" s="280" t="s">
        <v>111</v>
      </c>
      <c r="C71" s="78">
        <f t="shared" si="21"/>
        <v>5947683</v>
      </c>
      <c r="D71" s="281">
        <v>2649691</v>
      </c>
      <c r="E71" s="281">
        <v>3297992</v>
      </c>
      <c r="F71" s="281">
        <v>0</v>
      </c>
      <c r="G71" s="78">
        <v>0</v>
      </c>
      <c r="H71" s="78">
        <f t="shared" si="17"/>
        <v>5947683</v>
      </c>
      <c r="I71" s="78">
        <f t="shared" si="23"/>
        <v>5902844</v>
      </c>
      <c r="J71" s="281">
        <v>489308</v>
      </c>
      <c r="K71" s="281">
        <f>57844</f>
        <v>57844</v>
      </c>
      <c r="L71" s="281">
        <v>0</v>
      </c>
      <c r="M71" s="281">
        <v>5281713</v>
      </c>
      <c r="N71" s="281">
        <v>15255</v>
      </c>
      <c r="O71" s="281">
        <v>0</v>
      </c>
      <c r="P71" s="281">
        <v>0</v>
      </c>
      <c r="Q71" s="281">
        <v>58724</v>
      </c>
      <c r="R71" s="281">
        <v>44839</v>
      </c>
      <c r="S71" s="292">
        <f t="shared" si="19"/>
        <v>5400531</v>
      </c>
      <c r="T71" s="87">
        <f t="shared" si="20"/>
        <v>9.26929459765496</v>
      </c>
      <c r="U71" s="288"/>
      <c r="V71" s="289"/>
      <c r="W71" s="290"/>
      <c r="X71" s="291"/>
    </row>
    <row r="72" spans="1:24" ht="15.75">
      <c r="A72" s="255" t="s">
        <v>44</v>
      </c>
      <c r="B72" s="256" t="s">
        <v>110</v>
      </c>
      <c r="C72" s="78">
        <f t="shared" si="21"/>
        <v>16370034</v>
      </c>
      <c r="D72" s="78">
        <f>SUM(D73:D76)</f>
        <v>9354765</v>
      </c>
      <c r="E72" s="78">
        <f>SUM(E73:E76)</f>
        <v>7015269</v>
      </c>
      <c r="F72" s="78">
        <f>SUM(F73:F76)</f>
        <v>574456</v>
      </c>
      <c r="G72" s="78">
        <f>SUM(G73:G76)</f>
        <v>0</v>
      </c>
      <c r="H72" s="78">
        <f t="shared" si="17"/>
        <v>15795578</v>
      </c>
      <c r="I72" s="78">
        <f t="shared" si="23"/>
        <v>13919847</v>
      </c>
      <c r="J72" s="78">
        <f>SUM(J73:J76)</f>
        <v>1834127</v>
      </c>
      <c r="K72" s="78">
        <f>SUM(K73:K76)</f>
        <v>73539</v>
      </c>
      <c r="L72" s="78"/>
      <c r="M72" s="78">
        <f aca="true" t="shared" si="27" ref="M72:R72">SUM(M73:M76)</f>
        <v>6481692</v>
      </c>
      <c r="N72" s="78">
        <f t="shared" si="27"/>
        <v>1201971</v>
      </c>
      <c r="O72" s="78">
        <f t="shared" si="27"/>
        <v>0</v>
      </c>
      <c r="P72" s="78">
        <f t="shared" si="27"/>
        <v>0</v>
      </c>
      <c r="Q72" s="78">
        <f t="shared" si="27"/>
        <v>4328518</v>
      </c>
      <c r="R72" s="78">
        <f t="shared" si="27"/>
        <v>1875731</v>
      </c>
      <c r="S72" s="292">
        <f t="shared" si="19"/>
        <v>13887912</v>
      </c>
      <c r="T72" s="87">
        <f t="shared" si="20"/>
        <v>13.70464775941862</v>
      </c>
      <c r="U72" s="288"/>
      <c r="V72" s="289"/>
      <c r="W72" s="290"/>
      <c r="X72" s="291"/>
    </row>
    <row r="73" spans="1:24" ht="15.75">
      <c r="A73" s="88" t="s">
        <v>109</v>
      </c>
      <c r="B73" s="90" t="s">
        <v>108</v>
      </c>
      <c r="C73" s="78">
        <f t="shared" si="21"/>
        <v>0</v>
      </c>
      <c r="D73" s="78">
        <v>0</v>
      </c>
      <c r="E73" s="78">
        <v>0</v>
      </c>
      <c r="F73" s="78">
        <v>0</v>
      </c>
      <c r="G73" s="78">
        <v>0</v>
      </c>
      <c r="H73" s="78">
        <f t="shared" si="17"/>
        <v>0</v>
      </c>
      <c r="I73" s="78">
        <f t="shared" si="23"/>
        <v>0</v>
      </c>
      <c r="J73" s="89">
        <v>0</v>
      </c>
      <c r="K73" s="89">
        <v>0</v>
      </c>
      <c r="L73" s="89">
        <v>0</v>
      </c>
      <c r="M73" s="89">
        <v>0</v>
      </c>
      <c r="N73" s="89">
        <v>0</v>
      </c>
      <c r="O73" s="89">
        <v>0</v>
      </c>
      <c r="P73" s="89">
        <v>0</v>
      </c>
      <c r="Q73" s="89">
        <v>0</v>
      </c>
      <c r="R73" s="117">
        <v>0</v>
      </c>
      <c r="S73" s="292">
        <f t="shared" si="19"/>
        <v>0</v>
      </c>
      <c r="T73" s="87" t="e">
        <f t="shared" si="20"/>
        <v>#DIV/0!</v>
      </c>
      <c r="U73" s="288"/>
      <c r="V73" s="289"/>
      <c r="W73" s="290"/>
      <c r="X73" s="291"/>
    </row>
    <row r="74" spans="1:24" ht="15.75">
      <c r="A74" s="88" t="s">
        <v>107</v>
      </c>
      <c r="B74" s="90" t="s">
        <v>106</v>
      </c>
      <c r="C74" s="78">
        <f t="shared" si="21"/>
        <v>4725754</v>
      </c>
      <c r="D74" s="116">
        <v>2585987</v>
      </c>
      <c r="E74" s="282">
        <v>2139767</v>
      </c>
      <c r="F74" s="116">
        <v>50735</v>
      </c>
      <c r="G74" s="78">
        <v>0</v>
      </c>
      <c r="H74" s="78">
        <f t="shared" si="17"/>
        <v>4675019</v>
      </c>
      <c r="I74" s="78">
        <f t="shared" si="23"/>
        <v>4366156</v>
      </c>
      <c r="J74" s="282">
        <v>628149</v>
      </c>
      <c r="K74" s="282">
        <v>58539</v>
      </c>
      <c r="L74" s="89">
        <v>0</v>
      </c>
      <c r="M74" s="282">
        <v>2215633</v>
      </c>
      <c r="N74" s="282">
        <v>707408</v>
      </c>
      <c r="O74" s="89">
        <v>0</v>
      </c>
      <c r="P74" s="89">
        <v>0</v>
      </c>
      <c r="Q74" s="282">
        <v>756427</v>
      </c>
      <c r="R74" s="295">
        <v>308863</v>
      </c>
      <c r="S74" s="292">
        <f t="shared" si="19"/>
        <v>3988331</v>
      </c>
      <c r="T74" s="87">
        <f t="shared" si="20"/>
        <v>15.727518668595442</v>
      </c>
      <c r="U74" s="288"/>
      <c r="V74" s="289"/>
      <c r="W74" s="290"/>
      <c r="X74" s="291"/>
    </row>
    <row r="75" spans="1:24" ht="15.75">
      <c r="A75" s="88" t="s">
        <v>105</v>
      </c>
      <c r="B75" s="90" t="s">
        <v>191</v>
      </c>
      <c r="C75" s="78">
        <f t="shared" si="21"/>
        <v>3805495</v>
      </c>
      <c r="D75" s="116">
        <v>3070060</v>
      </c>
      <c r="E75" s="282">
        <v>735435</v>
      </c>
      <c r="F75" s="78">
        <v>0</v>
      </c>
      <c r="G75" s="78">
        <v>0</v>
      </c>
      <c r="H75" s="78">
        <f t="shared" si="17"/>
        <v>3805495</v>
      </c>
      <c r="I75" s="78">
        <f t="shared" si="23"/>
        <v>3025532</v>
      </c>
      <c r="J75" s="282">
        <v>184999</v>
      </c>
      <c r="K75" s="282">
        <v>15000</v>
      </c>
      <c r="L75" s="89">
        <v>0</v>
      </c>
      <c r="M75" s="282">
        <v>1262533</v>
      </c>
      <c r="N75" s="282">
        <v>145250</v>
      </c>
      <c r="O75" s="89">
        <v>0</v>
      </c>
      <c r="P75" s="89">
        <v>0</v>
      </c>
      <c r="Q75" s="282">
        <v>1417750</v>
      </c>
      <c r="R75" s="295">
        <v>779963</v>
      </c>
      <c r="S75" s="292">
        <f t="shared" si="19"/>
        <v>3605496</v>
      </c>
      <c r="T75" s="87">
        <f t="shared" si="20"/>
        <v>6.610374638245439</v>
      </c>
      <c r="U75" s="288"/>
      <c r="V75" s="289"/>
      <c r="W75" s="290"/>
      <c r="X75" s="291"/>
    </row>
    <row r="76" spans="1:24" ht="15.75">
      <c r="A76" s="88" t="s">
        <v>103</v>
      </c>
      <c r="B76" s="90" t="s">
        <v>102</v>
      </c>
      <c r="C76" s="78">
        <f t="shared" si="21"/>
        <v>7838785</v>
      </c>
      <c r="D76" s="116">
        <v>3698718</v>
      </c>
      <c r="E76" s="282">
        <v>4140067</v>
      </c>
      <c r="F76" s="116">
        <v>523721</v>
      </c>
      <c r="G76" s="78">
        <v>0</v>
      </c>
      <c r="H76" s="78">
        <f t="shared" si="17"/>
        <v>7315064</v>
      </c>
      <c r="I76" s="78">
        <f t="shared" si="23"/>
        <v>6528159</v>
      </c>
      <c r="J76" s="282">
        <v>1020979</v>
      </c>
      <c r="K76" s="89">
        <v>0</v>
      </c>
      <c r="L76" s="89">
        <v>0</v>
      </c>
      <c r="M76" s="282">
        <v>3003526</v>
      </c>
      <c r="N76" s="282">
        <v>349313</v>
      </c>
      <c r="O76" s="89">
        <v>0</v>
      </c>
      <c r="P76" s="89">
        <v>0</v>
      </c>
      <c r="Q76" s="282">
        <v>2154341</v>
      </c>
      <c r="R76" s="295">
        <v>786905</v>
      </c>
      <c r="S76" s="292">
        <f t="shared" si="19"/>
        <v>6294085</v>
      </c>
      <c r="T76" s="87">
        <f t="shared" si="20"/>
        <v>15.639616008127252</v>
      </c>
      <c r="U76" s="288"/>
      <c r="V76" s="289"/>
      <c r="W76" s="290"/>
      <c r="X76" s="291"/>
    </row>
    <row r="77" spans="1:24" ht="16.5">
      <c r="A77" s="86"/>
      <c r="B77" s="86"/>
      <c r="C77" s="86"/>
      <c r="D77" s="86"/>
      <c r="E77" s="86"/>
      <c r="F77" s="42"/>
      <c r="G77" s="42"/>
      <c r="H77" s="42"/>
      <c r="I77" s="42"/>
      <c r="J77" s="42"/>
      <c r="K77" s="42"/>
      <c r="L77" s="42"/>
      <c r="M77" s="42"/>
      <c r="N77" s="42"/>
      <c r="O77" s="161" t="str">
        <f>'Việc theo CHV Mẫu 06'!N77</f>
        <v>Trà Vinh, ngày 01 tháng 02 năm 2016</v>
      </c>
      <c r="P77" s="162"/>
      <c r="Q77" s="162"/>
      <c r="R77" s="162"/>
      <c r="S77" s="162"/>
      <c r="T77" s="162"/>
      <c r="U77" s="124"/>
      <c r="V77" s="28"/>
      <c r="W77" s="28"/>
      <c r="X77" s="28"/>
    </row>
    <row r="78" spans="1:24" ht="16.5">
      <c r="A78" s="35"/>
      <c r="B78" s="155"/>
      <c r="C78" s="155"/>
      <c r="D78" s="155"/>
      <c r="E78" s="155"/>
      <c r="F78" s="102"/>
      <c r="G78" s="123"/>
      <c r="H78" s="123"/>
      <c r="I78" s="123"/>
      <c r="J78" s="123"/>
      <c r="K78" s="123"/>
      <c r="L78" s="123"/>
      <c r="M78" s="123"/>
      <c r="N78" s="123"/>
      <c r="O78" s="156" t="s">
        <v>101</v>
      </c>
      <c r="P78" s="156"/>
      <c r="Q78" s="156"/>
      <c r="R78" s="156"/>
      <c r="S78" s="156"/>
      <c r="T78" s="156"/>
      <c r="U78" s="122"/>
      <c r="V78" s="37"/>
      <c r="W78" s="37"/>
      <c r="X78" s="37"/>
    </row>
    <row r="79" spans="1:24" ht="16.5">
      <c r="A79" s="30"/>
      <c r="B79" s="155" t="s">
        <v>3</v>
      </c>
      <c r="C79" s="155"/>
      <c r="D79" s="155"/>
      <c r="E79" s="155"/>
      <c r="F79" s="34"/>
      <c r="G79" s="34"/>
      <c r="H79" s="34"/>
      <c r="I79" s="34"/>
      <c r="J79" s="34"/>
      <c r="K79" s="34"/>
      <c r="L79" s="34"/>
      <c r="M79" s="34"/>
      <c r="N79" s="34"/>
      <c r="O79" s="156" t="s">
        <v>100</v>
      </c>
      <c r="P79" s="156"/>
      <c r="Q79" s="156"/>
      <c r="R79" s="156"/>
      <c r="S79" s="156"/>
      <c r="T79" s="156"/>
      <c r="U79" s="122"/>
      <c r="V79" s="30"/>
      <c r="W79" s="30"/>
      <c r="X79" s="30"/>
    </row>
    <row r="80" spans="1:24" ht="15.75">
      <c r="A80" s="30"/>
      <c r="B80" s="100"/>
      <c r="C80" s="249"/>
      <c r="D80" s="249"/>
      <c r="E80" s="249"/>
      <c r="F80" s="249"/>
      <c r="G80" s="249"/>
      <c r="H80" s="249"/>
      <c r="I80" s="249"/>
      <c r="J80" s="249"/>
      <c r="K80" s="249"/>
      <c r="L80" s="249"/>
      <c r="M80" s="249"/>
      <c r="N80" s="249"/>
      <c r="O80" s="249"/>
      <c r="P80" s="249"/>
      <c r="Q80" s="249"/>
      <c r="R80" s="249"/>
      <c r="S80" s="250"/>
      <c r="T80" s="30"/>
      <c r="U80" s="30"/>
      <c r="V80" s="30"/>
      <c r="W80" s="30"/>
      <c r="X80" s="30"/>
    </row>
    <row r="81" spans="1:24" ht="15.75">
      <c r="A81" s="30"/>
      <c r="B81" s="100"/>
      <c r="C81" s="251"/>
      <c r="D81" s="251"/>
      <c r="E81" s="251"/>
      <c r="F81" s="251"/>
      <c r="G81" s="251"/>
      <c r="H81" s="251"/>
      <c r="I81" s="251"/>
      <c r="J81" s="251"/>
      <c r="K81" s="251"/>
      <c r="L81" s="251"/>
      <c r="M81" s="251"/>
      <c r="N81" s="251"/>
      <c r="O81" s="251"/>
      <c r="P81" s="251"/>
      <c r="Q81" s="251"/>
      <c r="R81" s="251"/>
      <c r="S81" s="251"/>
      <c r="T81" s="30"/>
      <c r="U81" s="30"/>
      <c r="V81" s="30"/>
      <c r="W81" s="30"/>
      <c r="X81" s="30"/>
    </row>
    <row r="82" spans="1:24" ht="15.75">
      <c r="A82" s="29"/>
      <c r="B82" s="98"/>
      <c r="C82" s="252"/>
      <c r="D82" s="252"/>
      <c r="E82" s="252"/>
      <c r="F82" s="252"/>
      <c r="G82" s="252"/>
      <c r="H82" s="252"/>
      <c r="I82" s="252"/>
      <c r="J82" s="252"/>
      <c r="K82" s="252"/>
      <c r="L82" s="252"/>
      <c r="M82" s="252"/>
      <c r="N82" s="252"/>
      <c r="O82" s="252"/>
      <c r="P82" s="252"/>
      <c r="Q82" s="252"/>
      <c r="R82" s="252"/>
      <c r="S82" s="253"/>
      <c r="T82" s="30"/>
      <c r="U82" s="30"/>
      <c r="V82" s="30"/>
      <c r="W82" s="30"/>
      <c r="X82" s="30"/>
    </row>
    <row r="83" spans="1:24" ht="15.75">
      <c r="A83" s="30"/>
      <c r="B83" s="157"/>
      <c r="C83" s="157"/>
      <c r="D83" s="157"/>
      <c r="E83" s="157"/>
      <c r="F83" s="157"/>
      <c r="G83" s="157"/>
      <c r="H83" s="157"/>
      <c r="I83" s="157"/>
      <c r="J83" s="157"/>
      <c r="K83" s="157"/>
      <c r="L83" s="157"/>
      <c r="M83" s="157"/>
      <c r="N83" s="157"/>
      <c r="O83" s="157"/>
      <c r="P83" s="157"/>
      <c r="Q83" s="99"/>
      <c r="R83" s="99"/>
      <c r="S83" s="98"/>
      <c r="T83" s="30"/>
      <c r="U83" s="30"/>
      <c r="V83" s="30"/>
      <c r="W83" s="30"/>
      <c r="X83" s="30"/>
    </row>
    <row r="84" spans="1:24" ht="15.75">
      <c r="A84" s="30"/>
      <c r="B84" s="158"/>
      <c r="C84" s="158"/>
      <c r="D84" s="158"/>
      <c r="E84" s="158"/>
      <c r="F84" s="158"/>
      <c r="G84" s="158"/>
      <c r="H84" s="158"/>
      <c r="I84" s="158"/>
      <c r="J84" s="158"/>
      <c r="K84" s="158"/>
      <c r="L84" s="158"/>
      <c r="M84" s="158"/>
      <c r="N84" s="158"/>
      <c r="O84" s="158"/>
      <c r="P84" s="158"/>
      <c r="Q84" s="34"/>
      <c r="R84" s="34"/>
      <c r="S84" s="30"/>
      <c r="T84" s="30"/>
      <c r="U84" s="30"/>
      <c r="V84" s="30"/>
      <c r="W84" s="30"/>
      <c r="X84" s="30"/>
    </row>
    <row r="85" spans="1:24" ht="15.75">
      <c r="A85" s="30"/>
      <c r="B85" s="154" t="s">
        <v>99</v>
      </c>
      <c r="C85" s="154"/>
      <c r="D85" s="154"/>
      <c r="E85" s="154"/>
      <c r="F85" s="85"/>
      <c r="G85" s="85"/>
      <c r="H85" s="85"/>
      <c r="I85" s="85"/>
      <c r="J85" s="85"/>
      <c r="K85" s="85"/>
      <c r="L85" s="85"/>
      <c r="M85" s="85"/>
      <c r="N85" s="85"/>
      <c r="O85" s="154" t="s">
        <v>98</v>
      </c>
      <c r="P85" s="154"/>
      <c r="Q85" s="154"/>
      <c r="R85" s="154"/>
      <c r="S85" s="154"/>
      <c r="T85" s="154"/>
      <c r="U85" s="46"/>
      <c r="V85" s="30"/>
      <c r="W85" s="30"/>
      <c r="X85" s="30"/>
    </row>
    <row r="86" spans="1:24" ht="15.75">
      <c r="A86" s="39"/>
      <c r="B86" s="154"/>
      <c r="C86" s="154"/>
      <c r="D86" s="154"/>
      <c r="E86" s="154"/>
      <c r="F86" s="39"/>
      <c r="G86" s="39"/>
      <c r="H86" s="39"/>
      <c r="I86" s="39"/>
      <c r="J86" s="39"/>
      <c r="K86" s="39"/>
      <c r="L86" s="39"/>
      <c r="M86" s="39"/>
      <c r="N86" s="39"/>
      <c r="O86" s="154"/>
      <c r="P86" s="154"/>
      <c r="Q86" s="154"/>
      <c r="R86" s="154"/>
      <c r="S86" s="154"/>
      <c r="T86" s="154"/>
      <c r="U86" s="46"/>
      <c r="V86" s="30"/>
      <c r="W86" s="30"/>
      <c r="X86" s="30"/>
    </row>
    <row r="87" spans="1:24" ht="15.75">
      <c r="A87" s="39"/>
      <c r="B87" s="154"/>
      <c r="C87" s="154"/>
      <c r="D87" s="154"/>
      <c r="E87" s="154"/>
      <c r="F87" s="39"/>
      <c r="G87" s="39"/>
      <c r="H87" s="39"/>
      <c r="I87" s="39"/>
      <c r="J87" s="39"/>
      <c r="K87" s="39"/>
      <c r="L87" s="39"/>
      <c r="M87" s="39"/>
      <c r="N87" s="39"/>
      <c r="O87" s="154"/>
      <c r="P87" s="154"/>
      <c r="Q87" s="154"/>
      <c r="R87" s="154"/>
      <c r="S87" s="154"/>
      <c r="T87" s="154"/>
      <c r="U87" s="46"/>
      <c r="V87" s="30"/>
      <c r="W87" s="30"/>
      <c r="X87" s="30"/>
    </row>
    <row r="88" spans="1:24" ht="15.75">
      <c r="A88" s="39"/>
      <c r="B88" s="154"/>
      <c r="C88" s="154"/>
      <c r="D88" s="154"/>
      <c r="E88" s="154"/>
      <c r="F88" s="39"/>
      <c r="G88" s="39"/>
      <c r="H88" s="39"/>
      <c r="I88" s="39"/>
      <c r="J88" s="39"/>
      <c r="K88" s="39"/>
      <c r="L88" s="39"/>
      <c r="M88" s="39"/>
      <c r="N88" s="39"/>
      <c r="O88" s="154"/>
      <c r="P88" s="154"/>
      <c r="Q88" s="154"/>
      <c r="R88" s="154"/>
      <c r="S88" s="154"/>
      <c r="T88" s="154"/>
      <c r="U88" s="46"/>
      <c r="V88" s="30"/>
      <c r="W88" s="30"/>
      <c r="X88" s="30"/>
    </row>
    <row r="89" spans="1:24" ht="15.75">
      <c r="A89" s="30"/>
      <c r="B89" s="154"/>
      <c r="C89" s="154"/>
      <c r="D89" s="154"/>
      <c r="E89" s="154"/>
      <c r="F89" s="30"/>
      <c r="G89" s="30"/>
      <c r="H89" s="30"/>
      <c r="I89" s="30"/>
      <c r="J89" s="30"/>
      <c r="K89" s="30"/>
      <c r="L89" s="30"/>
      <c r="M89" s="30"/>
      <c r="N89" s="30"/>
      <c r="O89" s="154"/>
      <c r="P89" s="154"/>
      <c r="Q89" s="154"/>
      <c r="R89" s="154"/>
      <c r="S89" s="154"/>
      <c r="T89" s="154"/>
      <c r="U89" s="46"/>
      <c r="V89" s="30"/>
      <c r="W89" s="30"/>
      <c r="X89" s="30"/>
    </row>
    <row r="90" spans="1:24" ht="15.75">
      <c r="A90" s="30"/>
      <c r="B90" s="30"/>
      <c r="C90" s="30"/>
      <c r="D90" s="30"/>
      <c r="E90" s="30"/>
      <c r="F90" s="30"/>
      <c r="G90" s="30"/>
      <c r="H90" s="30"/>
      <c r="I90" s="30"/>
      <c r="J90" s="30"/>
      <c r="K90" s="30"/>
      <c r="L90" s="30"/>
      <c r="M90" s="30"/>
      <c r="N90" s="30"/>
      <c r="O90" s="30"/>
      <c r="P90" s="30"/>
      <c r="Q90" s="30"/>
      <c r="R90" s="30"/>
      <c r="S90" s="30"/>
      <c r="T90" s="30"/>
      <c r="U90" s="30"/>
      <c r="V90" s="30"/>
      <c r="W90" s="30"/>
      <c r="X90" s="30"/>
    </row>
    <row r="91" spans="1:24" ht="15.75">
      <c r="A91" s="30"/>
      <c r="B91" s="30"/>
      <c r="C91" s="30"/>
      <c r="D91" s="30"/>
      <c r="E91" s="30"/>
      <c r="F91" s="30"/>
      <c r="G91" s="30"/>
      <c r="H91" s="30"/>
      <c r="I91" s="30"/>
      <c r="J91" s="30"/>
      <c r="K91" s="30"/>
      <c r="L91" s="30"/>
      <c r="M91" s="30"/>
      <c r="N91" s="30"/>
      <c r="O91" s="30"/>
      <c r="P91" s="30"/>
      <c r="Q91" s="30"/>
      <c r="R91" s="30"/>
      <c r="S91" s="30"/>
      <c r="T91" s="30"/>
      <c r="U91" s="30"/>
      <c r="V91" s="30"/>
      <c r="W91" s="30"/>
      <c r="X91" s="30"/>
    </row>
    <row r="92" spans="1:24" ht="15.75">
      <c r="A92" s="30"/>
      <c r="B92" s="30"/>
      <c r="C92" s="30"/>
      <c r="D92" s="30"/>
      <c r="E92" s="30"/>
      <c r="F92" s="30"/>
      <c r="G92" s="30"/>
      <c r="H92" s="30"/>
      <c r="I92" s="30"/>
      <c r="J92" s="30"/>
      <c r="K92" s="30"/>
      <c r="L92" s="30"/>
      <c r="M92" s="30"/>
      <c r="N92" s="30"/>
      <c r="O92" s="30"/>
      <c r="P92" s="30"/>
      <c r="Q92" s="30"/>
      <c r="R92" s="30"/>
      <c r="S92" s="30"/>
      <c r="T92" s="30"/>
      <c r="U92" s="30"/>
      <c r="V92" s="30"/>
      <c r="W92" s="30"/>
      <c r="X92" s="30"/>
    </row>
    <row r="93" spans="1:24" ht="15.75">
      <c r="A93" s="30"/>
      <c r="B93" s="30"/>
      <c r="C93" s="30"/>
      <c r="D93" s="30"/>
      <c r="E93" s="30"/>
      <c r="F93" s="30"/>
      <c r="G93" s="30"/>
      <c r="H93" s="30"/>
      <c r="I93" s="30"/>
      <c r="J93" s="30"/>
      <c r="K93" s="30"/>
      <c r="L93" s="30"/>
      <c r="M93" s="30"/>
      <c r="N93" s="30"/>
      <c r="O93" s="30"/>
      <c r="P93" s="30"/>
      <c r="Q93" s="30"/>
      <c r="R93" s="30"/>
      <c r="S93" s="30"/>
      <c r="T93" s="30"/>
      <c r="U93" s="30"/>
      <c r="V93" s="30"/>
      <c r="W93" s="30"/>
      <c r="X93" s="30"/>
    </row>
    <row r="94" spans="1:24" ht="15.75">
      <c r="A94" s="30"/>
      <c r="B94" s="30"/>
      <c r="C94" s="30"/>
      <c r="D94" s="30"/>
      <c r="E94" s="30"/>
      <c r="F94" s="30"/>
      <c r="G94" s="30"/>
      <c r="H94" s="30"/>
      <c r="I94" s="30"/>
      <c r="J94" s="30"/>
      <c r="K94" s="30"/>
      <c r="L94" s="30"/>
      <c r="M94" s="30"/>
      <c r="N94" s="30"/>
      <c r="O94" s="30"/>
      <c r="P94" s="30"/>
      <c r="Q94" s="30"/>
      <c r="R94" s="30"/>
      <c r="S94" s="30"/>
      <c r="T94" s="30"/>
      <c r="U94" s="30"/>
      <c r="V94" s="30"/>
      <c r="W94" s="30"/>
      <c r="X94" s="30"/>
    </row>
    <row r="95" spans="1:24" ht="15.75">
      <c r="A95" s="30"/>
      <c r="B95" s="30"/>
      <c r="C95" s="30"/>
      <c r="D95" s="30"/>
      <c r="E95" s="30"/>
      <c r="F95" s="30"/>
      <c r="G95" s="30"/>
      <c r="H95" s="30"/>
      <c r="I95" s="30"/>
      <c r="J95" s="30"/>
      <c r="K95" s="30"/>
      <c r="L95" s="30"/>
      <c r="M95" s="30"/>
      <c r="N95" s="30"/>
      <c r="O95" s="30"/>
      <c r="P95" s="30"/>
      <c r="Q95" s="30"/>
      <c r="R95" s="30"/>
      <c r="S95" s="30"/>
      <c r="T95" s="30"/>
      <c r="U95" s="30"/>
      <c r="V95" s="30"/>
      <c r="W95" s="30"/>
      <c r="X95" s="30"/>
    </row>
    <row r="96" spans="1:24" ht="15.75">
      <c r="A96" s="30"/>
      <c r="B96" s="30"/>
      <c r="C96" s="30"/>
      <c r="D96" s="30"/>
      <c r="E96" s="30"/>
      <c r="F96" s="30"/>
      <c r="G96" s="30"/>
      <c r="H96" s="30"/>
      <c r="I96" s="30"/>
      <c r="J96" s="30"/>
      <c r="K96" s="30"/>
      <c r="L96" s="30"/>
      <c r="M96" s="30"/>
      <c r="N96" s="30"/>
      <c r="O96" s="30"/>
      <c r="P96" s="30"/>
      <c r="Q96" s="30"/>
      <c r="R96" s="30"/>
      <c r="S96" s="30"/>
      <c r="T96" s="30"/>
      <c r="U96" s="30"/>
      <c r="V96" s="30"/>
      <c r="W96" s="30"/>
      <c r="X96" s="30"/>
    </row>
    <row r="97" spans="1:24" ht="15.75">
      <c r="A97" s="30"/>
      <c r="B97" s="30"/>
      <c r="C97" s="30"/>
      <c r="D97" s="30"/>
      <c r="E97" s="30"/>
      <c r="F97" s="30"/>
      <c r="G97" s="30"/>
      <c r="H97" s="30"/>
      <c r="I97" s="30"/>
      <c r="J97" s="30"/>
      <c r="K97" s="30"/>
      <c r="L97" s="30"/>
      <c r="M97" s="30"/>
      <c r="N97" s="30"/>
      <c r="O97" s="30"/>
      <c r="P97" s="30"/>
      <c r="Q97" s="30"/>
      <c r="R97" s="30"/>
      <c r="S97" s="30"/>
      <c r="T97" s="30"/>
      <c r="U97" s="30"/>
      <c r="V97" s="30"/>
      <c r="W97" s="30"/>
      <c r="X97" s="30"/>
    </row>
    <row r="98" spans="1:24" ht="15.75">
      <c r="A98" s="30"/>
      <c r="B98" s="30"/>
      <c r="C98" s="30"/>
      <c r="D98" s="30"/>
      <c r="E98" s="30"/>
      <c r="F98" s="30"/>
      <c r="G98" s="30"/>
      <c r="H98" s="30"/>
      <c r="I98" s="30"/>
      <c r="J98" s="30"/>
      <c r="K98" s="30"/>
      <c r="L98" s="30"/>
      <c r="M98" s="30"/>
      <c r="N98" s="30"/>
      <c r="O98" s="30"/>
      <c r="P98" s="30"/>
      <c r="Q98" s="30"/>
      <c r="R98" s="30"/>
      <c r="S98" s="30"/>
      <c r="T98" s="30"/>
      <c r="U98" s="30"/>
      <c r="V98" s="30"/>
      <c r="W98" s="30"/>
      <c r="X98" s="30"/>
    </row>
    <row r="99" spans="1:24" ht="15.75">
      <c r="A99" s="30"/>
      <c r="B99" s="30"/>
      <c r="C99" s="30"/>
      <c r="D99" s="30"/>
      <c r="E99" s="30"/>
      <c r="F99" s="30"/>
      <c r="G99" s="30"/>
      <c r="H99" s="30"/>
      <c r="I99" s="30"/>
      <c r="J99" s="30"/>
      <c r="K99" s="30"/>
      <c r="L99" s="30"/>
      <c r="M99" s="30"/>
      <c r="N99" s="30"/>
      <c r="O99" s="30"/>
      <c r="P99" s="30"/>
      <c r="Q99" s="30"/>
      <c r="R99" s="30"/>
      <c r="S99" s="30"/>
      <c r="T99" s="30"/>
      <c r="U99" s="30"/>
      <c r="V99" s="30"/>
      <c r="W99" s="30"/>
      <c r="X99" s="30"/>
    </row>
    <row r="100" spans="1:24" ht="15.75">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row>
    <row r="101" spans="1:24" ht="15.75">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row>
    <row r="102" spans="1:24" ht="15.75">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row>
    <row r="103" spans="1:24" ht="15.75">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row>
    <row r="104" spans="1:24" ht="15.75">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row>
    <row r="105" spans="1:24" ht="15.75">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row>
    <row r="106" spans="1:24" ht="15.75">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row>
    <row r="107" spans="1:24" ht="15.75">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row>
    <row r="108" spans="1:24" ht="15.75">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row>
    <row r="109" spans="1:24" ht="15.75">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row>
    <row r="110" spans="1:24" ht="15.75">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row>
    <row r="111" spans="1:24" ht="15.75">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row>
    <row r="112" spans="1:24" ht="15.75">
      <c r="A112" s="32"/>
      <c r="B112" s="32"/>
      <c r="C112" s="32"/>
      <c r="D112" s="32"/>
      <c r="E112" s="32"/>
      <c r="F112" s="32"/>
      <c r="G112" s="32"/>
      <c r="H112" s="32"/>
      <c r="I112" s="32"/>
      <c r="J112" s="32"/>
      <c r="K112" s="32"/>
      <c r="L112" s="32"/>
      <c r="M112" s="32"/>
      <c r="N112" s="32"/>
      <c r="O112" s="32"/>
      <c r="P112" s="32"/>
      <c r="Q112" s="32"/>
      <c r="R112" s="32"/>
      <c r="S112" s="32"/>
      <c r="T112" s="32"/>
      <c r="U112" s="32"/>
      <c r="V112" s="32"/>
      <c r="W112" s="32"/>
      <c r="X112" s="32"/>
    </row>
  </sheetData>
  <sheetProtection/>
  <mergeCells count="55">
    <mergeCell ref="E1:P1"/>
    <mergeCell ref="Q1:T1"/>
    <mergeCell ref="A2:D2"/>
    <mergeCell ref="E2:P2"/>
    <mergeCell ref="A3:D3"/>
    <mergeCell ref="E3:P3"/>
    <mergeCell ref="Q3:T3"/>
    <mergeCell ref="Q2:V2"/>
    <mergeCell ref="Q4:T4"/>
    <mergeCell ref="Q5:T5"/>
    <mergeCell ref="A6:B10"/>
    <mergeCell ref="C6:E6"/>
    <mergeCell ref="F6:F10"/>
    <mergeCell ref="G6:G10"/>
    <mergeCell ref="H6:R6"/>
    <mergeCell ref="S6:S10"/>
    <mergeCell ref="T6:T10"/>
    <mergeCell ref="E9:E10"/>
    <mergeCell ref="V6:V10"/>
    <mergeCell ref="W6:W10"/>
    <mergeCell ref="C7:C10"/>
    <mergeCell ref="D7:E8"/>
    <mergeCell ref="H7:H10"/>
    <mergeCell ref="I7:Q7"/>
    <mergeCell ref="R7:R10"/>
    <mergeCell ref="I8:I10"/>
    <mergeCell ref="J8:Q8"/>
    <mergeCell ref="D9:D10"/>
    <mergeCell ref="O78:T78"/>
    <mergeCell ref="J9:J10"/>
    <mergeCell ref="K9:K10"/>
    <mergeCell ref="L9:L10"/>
    <mergeCell ref="M9:M10"/>
    <mergeCell ref="N9:N10"/>
    <mergeCell ref="O9:O10"/>
    <mergeCell ref="B79:E79"/>
    <mergeCell ref="O79:T79"/>
    <mergeCell ref="B83:P83"/>
    <mergeCell ref="B84:P84"/>
    <mergeCell ref="P9:P10"/>
    <mergeCell ref="Q9:Q10"/>
    <mergeCell ref="A11:B11"/>
    <mergeCell ref="A12:B12"/>
    <mergeCell ref="O77:T77"/>
    <mergeCell ref="B78:E78"/>
    <mergeCell ref="O85:T85"/>
    <mergeCell ref="O86:T86"/>
    <mergeCell ref="B85:E85"/>
    <mergeCell ref="B86:E86"/>
    <mergeCell ref="B89:E89"/>
    <mergeCell ref="O89:T89"/>
    <mergeCell ref="B87:E87"/>
    <mergeCell ref="B88:E88"/>
    <mergeCell ref="O87:T87"/>
    <mergeCell ref="O88:T88"/>
  </mergeCells>
  <printOptions/>
  <pageMargins left="0" right="0" top="0" bottom="0" header="0.55" footer="0.3"/>
  <pageSetup horizontalDpi="600" verticalDpi="600" orientation="landscape" paperSize="9" r:id="rId2"/>
  <headerFooter>
    <oddFooter>&amp;R&amp;P</oddFooter>
  </headerFooter>
  <drawing r:id="rId1"/>
</worksheet>
</file>

<file path=xl/worksheets/sheet3.xml><?xml version="1.0" encoding="utf-8"?>
<worksheet xmlns="http://schemas.openxmlformats.org/spreadsheetml/2006/main" xmlns:r="http://schemas.openxmlformats.org/officeDocument/2006/relationships">
  <sheetPr>
    <tabColor theme="0"/>
  </sheetPr>
  <dimension ref="A1:GB89"/>
  <sheetViews>
    <sheetView tabSelected="1" view="pageBreakPreview" zoomScale="90" zoomScaleNormal="70" zoomScaleSheetLayoutView="90" zoomScalePageLayoutView="0" workbookViewId="0" topLeftCell="A64">
      <selection activeCell="J9" sqref="J9:J10"/>
    </sheetView>
  </sheetViews>
  <sheetFormatPr defaultColWidth="9.00390625" defaultRowHeight="15.75"/>
  <cols>
    <col min="1" max="1" width="3.50390625" style="30" customWidth="1"/>
    <col min="2" max="2" width="16.625" style="30" customWidth="1"/>
    <col min="3" max="3" width="7.00390625" style="30" customWidth="1"/>
    <col min="4" max="5" width="7.375" style="30" customWidth="1"/>
    <col min="6" max="6" width="6.50390625" style="30" customWidth="1"/>
    <col min="7" max="7" width="6.125" style="30" customWidth="1"/>
    <col min="8" max="8" width="8.875" style="30" customWidth="1"/>
    <col min="9" max="9" width="7.875" style="30" customWidth="1"/>
    <col min="10" max="11" width="6.25390625" style="30" customWidth="1"/>
    <col min="12" max="12" width="6.75390625" style="30" customWidth="1"/>
    <col min="13" max="14" width="5.875" style="30" customWidth="1"/>
    <col min="15" max="15" width="5.625" style="30" customWidth="1"/>
    <col min="16" max="16" width="5.25390625" style="30" customWidth="1"/>
    <col min="17" max="17" width="7.50390625" style="30" customWidth="1"/>
    <col min="18" max="18" width="7.00390625" style="30" customWidth="1"/>
    <col min="19" max="22" width="7.50390625" style="30" customWidth="1"/>
    <col min="23" max="23" width="7.375" style="30" customWidth="1"/>
    <col min="24" max="38" width="7.50390625" style="30" customWidth="1"/>
    <col min="39" max="39" width="4.00390625" style="30" customWidth="1"/>
    <col min="40" max="40" width="11.50390625" style="30" customWidth="1"/>
    <col min="41" max="41" width="8.25390625" style="30" customWidth="1"/>
    <col min="42" max="42" width="8.50390625" style="30" customWidth="1"/>
    <col min="43" max="43" width="8.25390625" style="30" customWidth="1"/>
    <col min="44" max="44" width="5.875" style="30" customWidth="1"/>
    <col min="45" max="45" width="6.125" style="30" customWidth="1"/>
    <col min="46" max="46" width="7.75390625" style="30" customWidth="1"/>
    <col min="47" max="47" width="6.75390625" style="30" customWidth="1"/>
    <col min="48" max="48" width="7.25390625" style="30" customWidth="1"/>
    <col min="49" max="50" width="6.875" style="30" customWidth="1"/>
    <col min="51" max="51" width="7.375" style="30" customWidth="1"/>
    <col min="52" max="52" width="7.125" style="30" customWidth="1"/>
    <col min="53" max="53" width="5.625" style="30" customWidth="1"/>
    <col min="54" max="54" width="5.875" style="30" customWidth="1"/>
    <col min="55" max="55" width="8.00390625" style="30" customWidth="1"/>
    <col min="56" max="56" width="7.125" style="30" customWidth="1"/>
    <col min="57" max="57" width="8.25390625" style="30" customWidth="1"/>
    <col min="58" max="58" width="8.375" style="30" customWidth="1"/>
    <col min="59" max="60" width="9.00390625" style="30" customWidth="1"/>
    <col min="61" max="61" width="11.875" style="30" bestFit="1" customWidth="1"/>
    <col min="62" max="16384" width="9.00390625" style="30" customWidth="1"/>
  </cols>
  <sheetData>
    <row r="1" spans="1:58" ht="20.25" customHeight="1">
      <c r="A1" s="34" t="s">
        <v>16</v>
      </c>
      <c r="B1" s="34"/>
      <c r="C1" s="34"/>
      <c r="E1" s="189" t="s">
        <v>46</v>
      </c>
      <c r="F1" s="189"/>
      <c r="G1" s="189"/>
      <c r="H1" s="189"/>
      <c r="I1" s="189"/>
      <c r="J1" s="189"/>
      <c r="K1" s="189"/>
      <c r="L1" s="189"/>
      <c r="M1" s="189"/>
      <c r="N1" s="189"/>
      <c r="O1" s="189"/>
      <c r="P1" s="153" t="s">
        <v>190</v>
      </c>
      <c r="Q1" s="153"/>
      <c r="R1" s="153"/>
      <c r="S1" s="153"/>
      <c r="T1" s="36"/>
      <c r="U1" s="36"/>
      <c r="V1" s="36"/>
      <c r="W1" s="36"/>
      <c r="X1" s="36"/>
      <c r="Y1" s="36"/>
      <c r="Z1" s="36"/>
      <c r="AA1" s="36"/>
      <c r="AB1" s="36"/>
      <c r="AC1" s="36"/>
      <c r="AD1" s="36"/>
      <c r="AE1" s="36"/>
      <c r="AF1" s="36"/>
      <c r="AG1" s="36"/>
      <c r="AH1" s="36"/>
      <c r="AI1" s="36"/>
      <c r="AJ1" s="36"/>
      <c r="AK1" s="36"/>
      <c r="AL1" s="36"/>
      <c r="AM1" s="36"/>
      <c r="AN1" s="36"/>
      <c r="AO1" s="36"/>
      <c r="AP1" s="32"/>
      <c r="AQ1" s="219"/>
      <c r="AR1" s="219"/>
      <c r="AS1" s="219"/>
      <c r="AT1" s="219"/>
      <c r="AU1" s="219"/>
      <c r="AV1" s="219"/>
      <c r="AW1" s="219"/>
      <c r="AX1" s="219"/>
      <c r="AY1" s="219"/>
      <c r="AZ1" s="219"/>
      <c r="BA1" s="219"/>
      <c r="BB1" s="219"/>
      <c r="BC1" s="153"/>
      <c r="BD1" s="153"/>
      <c r="BE1" s="153"/>
      <c r="BF1" s="153"/>
    </row>
    <row r="2" spans="1:58" ht="17.25" customHeight="1">
      <c r="A2" s="190" t="s">
        <v>96</v>
      </c>
      <c r="B2" s="190"/>
      <c r="C2" s="190"/>
      <c r="D2" s="190"/>
      <c r="E2" s="191" t="s">
        <v>21</v>
      </c>
      <c r="F2" s="191"/>
      <c r="G2" s="191"/>
      <c r="H2" s="191"/>
      <c r="I2" s="191"/>
      <c r="J2" s="191"/>
      <c r="K2" s="191"/>
      <c r="L2" s="191"/>
      <c r="M2" s="191"/>
      <c r="N2" s="191"/>
      <c r="O2" s="191"/>
      <c r="P2" s="152" t="s">
        <v>189</v>
      </c>
      <c r="Q2" s="152"/>
      <c r="R2" s="152"/>
      <c r="S2" s="152"/>
      <c r="T2" s="38"/>
      <c r="U2" s="38"/>
      <c r="V2" s="38"/>
      <c r="W2" s="38"/>
      <c r="X2" s="38"/>
      <c r="Y2" s="38"/>
      <c r="Z2" s="38"/>
      <c r="AA2" s="38"/>
      <c r="AB2" s="38"/>
      <c r="AC2" s="38"/>
      <c r="AD2" s="38"/>
      <c r="AE2" s="38"/>
      <c r="AF2" s="38"/>
      <c r="AG2" s="38"/>
      <c r="AH2" s="38"/>
      <c r="AI2" s="38"/>
      <c r="AJ2" s="38"/>
      <c r="AK2" s="38"/>
      <c r="AL2" s="38"/>
      <c r="AM2" s="220"/>
      <c r="AN2" s="220"/>
      <c r="AO2" s="220"/>
      <c r="AP2" s="220"/>
      <c r="AQ2" s="155"/>
      <c r="AR2" s="155"/>
      <c r="AS2" s="155"/>
      <c r="AT2" s="155"/>
      <c r="AU2" s="155"/>
      <c r="AV2" s="155"/>
      <c r="AW2" s="155"/>
      <c r="AX2" s="155"/>
      <c r="AY2" s="155"/>
      <c r="AZ2" s="155"/>
      <c r="BA2" s="155"/>
      <c r="BB2" s="155"/>
      <c r="BC2" s="152"/>
      <c r="BD2" s="152"/>
      <c r="BE2" s="152"/>
      <c r="BF2" s="152"/>
    </row>
    <row r="3" spans="1:58" ht="14.25" customHeight="1">
      <c r="A3" s="190" t="s">
        <v>97</v>
      </c>
      <c r="B3" s="190"/>
      <c r="C3" s="190"/>
      <c r="D3" s="190"/>
      <c r="E3" s="192" t="s">
        <v>238</v>
      </c>
      <c r="F3" s="193"/>
      <c r="G3" s="193"/>
      <c r="H3" s="193"/>
      <c r="I3" s="193"/>
      <c r="J3" s="193"/>
      <c r="K3" s="193"/>
      <c r="L3" s="193"/>
      <c r="M3" s="193"/>
      <c r="N3" s="193"/>
      <c r="O3" s="193"/>
      <c r="P3" s="153" t="s">
        <v>188</v>
      </c>
      <c r="Q3" s="153"/>
      <c r="R3" s="153"/>
      <c r="S3" s="153"/>
      <c r="T3" s="36"/>
      <c r="U3" s="36"/>
      <c r="V3" s="36"/>
      <c r="W3" s="36"/>
      <c r="X3" s="36"/>
      <c r="Y3" s="36"/>
      <c r="Z3" s="36"/>
      <c r="AA3" s="36"/>
      <c r="AB3" s="36"/>
      <c r="AC3" s="36"/>
      <c r="AD3" s="36"/>
      <c r="AE3" s="36"/>
      <c r="AF3" s="36"/>
      <c r="AG3" s="36"/>
      <c r="AH3" s="36"/>
      <c r="AI3" s="36"/>
      <c r="AJ3" s="36"/>
      <c r="AK3" s="36"/>
      <c r="AL3" s="36"/>
      <c r="AM3" s="220"/>
      <c r="AN3" s="220"/>
      <c r="AO3" s="220"/>
      <c r="AP3" s="220"/>
      <c r="AQ3" s="221"/>
      <c r="AR3" s="221"/>
      <c r="AS3" s="221"/>
      <c r="AT3" s="221"/>
      <c r="AU3" s="221"/>
      <c r="AV3" s="221"/>
      <c r="AW3" s="221"/>
      <c r="AX3" s="221"/>
      <c r="AY3" s="221"/>
      <c r="AZ3" s="221"/>
      <c r="BA3" s="221"/>
      <c r="BB3" s="221"/>
      <c r="BC3" s="153"/>
      <c r="BD3" s="153"/>
      <c r="BE3" s="153"/>
      <c r="BF3" s="153"/>
    </row>
    <row r="4" spans="1:58" ht="14.25" customHeight="1">
      <c r="A4" s="34" t="s">
        <v>187</v>
      </c>
      <c r="B4" s="34"/>
      <c r="C4" s="34"/>
      <c r="D4" s="34"/>
      <c r="E4" s="34"/>
      <c r="F4" s="34"/>
      <c r="G4" s="34"/>
      <c r="H4" s="34"/>
      <c r="I4" s="34"/>
      <c r="J4" s="34"/>
      <c r="K4" s="34"/>
      <c r="L4" s="34"/>
      <c r="M4" s="34"/>
      <c r="N4" s="45"/>
      <c r="O4" s="45"/>
      <c r="P4" s="152" t="s">
        <v>186</v>
      </c>
      <c r="Q4" s="152"/>
      <c r="R4" s="152"/>
      <c r="S4" s="152"/>
      <c r="T4" s="38"/>
      <c r="U4" s="38"/>
      <c r="V4" s="38"/>
      <c r="W4" s="38"/>
      <c r="X4" s="38"/>
      <c r="Y4" s="38"/>
      <c r="Z4" s="38"/>
      <c r="AA4" s="38"/>
      <c r="AB4" s="38"/>
      <c r="AC4" s="38"/>
      <c r="AD4" s="38"/>
      <c r="AE4" s="38"/>
      <c r="AF4" s="38"/>
      <c r="AG4" s="38"/>
      <c r="AH4" s="38"/>
      <c r="AI4" s="38"/>
      <c r="AJ4" s="38"/>
      <c r="AK4" s="38"/>
      <c r="AL4" s="38"/>
      <c r="AM4" s="36"/>
      <c r="AN4" s="36"/>
      <c r="AO4" s="36"/>
      <c r="AP4" s="36"/>
      <c r="AQ4" s="36"/>
      <c r="AR4" s="36"/>
      <c r="AS4" s="36"/>
      <c r="AT4" s="36"/>
      <c r="AU4" s="36"/>
      <c r="AV4" s="36"/>
      <c r="AW4" s="36"/>
      <c r="AX4" s="36"/>
      <c r="AY4" s="36"/>
      <c r="AZ4" s="36"/>
      <c r="BA4" s="33"/>
      <c r="BB4" s="33"/>
      <c r="BC4" s="152"/>
      <c r="BD4" s="152"/>
      <c r="BE4" s="152"/>
      <c r="BF4" s="152"/>
    </row>
    <row r="5" spans="2:58" ht="12.75" customHeight="1">
      <c r="B5" s="41"/>
      <c r="C5" s="41"/>
      <c r="P5" s="245" t="s">
        <v>6</v>
      </c>
      <c r="Q5" s="245"/>
      <c r="R5" s="245"/>
      <c r="S5" s="245"/>
      <c r="T5" s="36"/>
      <c r="U5" s="36"/>
      <c r="V5" s="36"/>
      <c r="W5" s="36"/>
      <c r="X5" s="36"/>
      <c r="Y5" s="36"/>
      <c r="Z5" s="36"/>
      <c r="AA5" s="36"/>
      <c r="AB5" s="36"/>
      <c r="AC5" s="36"/>
      <c r="AD5" s="36"/>
      <c r="AE5" s="36"/>
      <c r="AF5" s="36"/>
      <c r="AG5" s="36"/>
      <c r="AH5" s="36"/>
      <c r="AI5" s="36"/>
      <c r="AJ5" s="36"/>
      <c r="AK5" s="36"/>
      <c r="AL5" s="36"/>
      <c r="AM5" s="32"/>
      <c r="AN5" s="35"/>
      <c r="AO5" s="35"/>
      <c r="AP5" s="32"/>
      <c r="AQ5" s="32"/>
      <c r="AR5" s="32"/>
      <c r="AS5" s="32"/>
      <c r="AT5" s="32"/>
      <c r="AU5" s="32"/>
      <c r="AV5" s="32"/>
      <c r="AW5" s="32"/>
      <c r="AX5" s="32"/>
      <c r="AY5" s="32"/>
      <c r="AZ5" s="32"/>
      <c r="BA5" s="32"/>
      <c r="BB5" s="32"/>
      <c r="BC5" s="212"/>
      <c r="BD5" s="212"/>
      <c r="BE5" s="212"/>
      <c r="BF5" s="212"/>
    </row>
    <row r="6" spans="1:61" ht="22.5" customHeight="1">
      <c r="A6" s="224" t="s">
        <v>38</v>
      </c>
      <c r="B6" s="225"/>
      <c r="C6" s="246" t="s">
        <v>83</v>
      </c>
      <c r="D6" s="247"/>
      <c r="E6" s="248"/>
      <c r="F6" s="230" t="s">
        <v>61</v>
      </c>
      <c r="G6" s="213" t="s">
        <v>84</v>
      </c>
      <c r="H6" s="240" t="s">
        <v>62</v>
      </c>
      <c r="I6" s="241"/>
      <c r="J6" s="241"/>
      <c r="K6" s="241"/>
      <c r="L6" s="241"/>
      <c r="M6" s="241"/>
      <c r="N6" s="241"/>
      <c r="O6" s="241"/>
      <c r="P6" s="241"/>
      <c r="Q6" s="242"/>
      <c r="R6" s="222" t="s">
        <v>85</v>
      </c>
      <c r="S6" s="238" t="s">
        <v>86</v>
      </c>
      <c r="T6" s="84"/>
      <c r="U6" s="199"/>
      <c r="V6" s="199"/>
      <c r="W6" s="201"/>
      <c r="X6" s="84"/>
      <c r="Y6" s="84"/>
      <c r="Z6" s="84"/>
      <c r="AA6" s="84"/>
      <c r="AB6" s="84"/>
      <c r="AC6" s="84"/>
      <c r="AD6" s="84"/>
      <c r="AE6" s="84"/>
      <c r="AF6" s="84"/>
      <c r="AG6" s="84"/>
      <c r="AH6" s="84"/>
      <c r="AI6" s="84"/>
      <c r="AJ6" s="84"/>
      <c r="AK6" s="194"/>
      <c r="AL6" s="194"/>
      <c r="AM6" s="209"/>
      <c r="AN6" s="209"/>
      <c r="AO6" s="210"/>
      <c r="AP6" s="211"/>
      <c r="AQ6" s="211"/>
      <c r="AR6" s="203"/>
      <c r="AS6" s="203"/>
      <c r="AT6" s="218"/>
      <c r="AU6" s="218"/>
      <c r="AV6" s="218"/>
      <c r="AW6" s="218"/>
      <c r="AX6" s="218"/>
      <c r="AY6" s="218"/>
      <c r="AZ6" s="218"/>
      <c r="BA6" s="218"/>
      <c r="BB6" s="218"/>
      <c r="BC6" s="218"/>
      <c r="BD6" s="218"/>
      <c r="BE6" s="207"/>
      <c r="BF6" s="194"/>
      <c r="BG6" s="194"/>
      <c r="BH6" s="194"/>
      <c r="BI6" s="32"/>
    </row>
    <row r="7" spans="1:60" s="36" customFormat="1" ht="16.5" customHeight="1">
      <c r="A7" s="226"/>
      <c r="B7" s="227"/>
      <c r="C7" s="222" t="s">
        <v>25</v>
      </c>
      <c r="D7" s="238" t="s">
        <v>5</v>
      </c>
      <c r="E7" s="215"/>
      <c r="F7" s="231"/>
      <c r="G7" s="223"/>
      <c r="H7" s="213" t="s">
        <v>19</v>
      </c>
      <c r="I7" s="238" t="s">
        <v>63</v>
      </c>
      <c r="J7" s="243"/>
      <c r="K7" s="243"/>
      <c r="L7" s="243"/>
      <c r="M7" s="243"/>
      <c r="N7" s="243"/>
      <c r="O7" s="243"/>
      <c r="P7" s="244"/>
      <c r="Q7" s="215" t="s">
        <v>87</v>
      </c>
      <c r="R7" s="223"/>
      <c r="S7" s="231"/>
      <c r="T7" s="83"/>
      <c r="U7" s="200"/>
      <c r="V7" s="200"/>
      <c r="W7" s="201"/>
      <c r="X7" s="83"/>
      <c r="Y7" s="83"/>
      <c r="Z7" s="83"/>
      <c r="AA7" s="83"/>
      <c r="AB7" s="83"/>
      <c r="AC7" s="83"/>
      <c r="AD7" s="83"/>
      <c r="AE7" s="83"/>
      <c r="AF7" s="83"/>
      <c r="AG7" s="83"/>
      <c r="AH7" s="83"/>
      <c r="AI7" s="83"/>
      <c r="AJ7" s="83"/>
      <c r="AK7" s="195"/>
      <c r="AL7" s="195"/>
      <c r="AM7" s="209"/>
      <c r="AN7" s="209"/>
      <c r="AO7" s="207"/>
      <c r="AP7" s="207"/>
      <c r="AQ7" s="203"/>
      <c r="AR7" s="203"/>
      <c r="AS7" s="203"/>
      <c r="AT7" s="203"/>
      <c r="AU7" s="207"/>
      <c r="AV7" s="207"/>
      <c r="AW7" s="207"/>
      <c r="AX7" s="207"/>
      <c r="AY7" s="207"/>
      <c r="AZ7" s="207"/>
      <c r="BA7" s="207"/>
      <c r="BB7" s="207"/>
      <c r="BC7" s="207"/>
      <c r="BD7" s="203"/>
      <c r="BE7" s="203"/>
      <c r="BF7" s="195"/>
      <c r="BG7" s="195"/>
      <c r="BH7" s="195"/>
    </row>
    <row r="8" spans="1:61" ht="15.75" customHeight="1">
      <c r="A8" s="226"/>
      <c r="B8" s="227"/>
      <c r="C8" s="223"/>
      <c r="D8" s="232"/>
      <c r="E8" s="217"/>
      <c r="F8" s="231"/>
      <c r="G8" s="223"/>
      <c r="H8" s="223"/>
      <c r="I8" s="213" t="s">
        <v>19</v>
      </c>
      <c r="J8" s="233" t="s">
        <v>5</v>
      </c>
      <c r="K8" s="234"/>
      <c r="L8" s="234"/>
      <c r="M8" s="234"/>
      <c r="N8" s="234"/>
      <c r="O8" s="234"/>
      <c r="P8" s="235"/>
      <c r="Q8" s="216"/>
      <c r="R8" s="223"/>
      <c r="S8" s="231"/>
      <c r="T8" s="83"/>
      <c r="U8" s="200"/>
      <c r="V8" s="200"/>
      <c r="W8" s="201"/>
      <c r="X8" s="83"/>
      <c r="Y8" s="83"/>
      <c r="Z8" s="83"/>
      <c r="AA8" s="83"/>
      <c r="AB8" s="83"/>
      <c r="AC8" s="83"/>
      <c r="AD8" s="83"/>
      <c r="AE8" s="83"/>
      <c r="AF8" s="83"/>
      <c r="AG8" s="83"/>
      <c r="AH8" s="83"/>
      <c r="AI8" s="83"/>
      <c r="AJ8" s="83"/>
      <c r="AK8" s="195"/>
      <c r="AL8" s="195"/>
      <c r="AM8" s="209"/>
      <c r="AN8" s="209"/>
      <c r="AO8" s="203"/>
      <c r="AP8" s="203"/>
      <c r="AQ8" s="203"/>
      <c r="AR8" s="203"/>
      <c r="AS8" s="203"/>
      <c r="AT8" s="203"/>
      <c r="AU8" s="203"/>
      <c r="AV8" s="207"/>
      <c r="AW8" s="207"/>
      <c r="AX8" s="207"/>
      <c r="AY8" s="207"/>
      <c r="AZ8" s="207"/>
      <c r="BA8" s="207"/>
      <c r="BB8" s="207"/>
      <c r="BC8" s="207"/>
      <c r="BD8" s="203"/>
      <c r="BE8" s="203"/>
      <c r="BF8" s="195"/>
      <c r="BG8" s="195"/>
      <c r="BH8" s="195"/>
      <c r="BI8" s="32"/>
    </row>
    <row r="9" spans="1:61" ht="15.75" customHeight="1">
      <c r="A9" s="226"/>
      <c r="B9" s="227"/>
      <c r="C9" s="223"/>
      <c r="D9" s="222" t="s">
        <v>88</v>
      </c>
      <c r="E9" s="222" t="s">
        <v>89</v>
      </c>
      <c r="F9" s="231"/>
      <c r="G9" s="223"/>
      <c r="H9" s="223"/>
      <c r="I9" s="223"/>
      <c r="J9" s="235" t="s">
        <v>90</v>
      </c>
      <c r="K9" s="236" t="s">
        <v>91</v>
      </c>
      <c r="L9" s="237" t="s">
        <v>65</v>
      </c>
      <c r="M9" s="213" t="s">
        <v>92</v>
      </c>
      <c r="N9" s="213" t="s">
        <v>68</v>
      </c>
      <c r="O9" s="213" t="s">
        <v>93</v>
      </c>
      <c r="P9" s="213" t="s">
        <v>94</v>
      </c>
      <c r="Q9" s="216"/>
      <c r="R9" s="223"/>
      <c r="S9" s="231"/>
      <c r="T9" s="83"/>
      <c r="U9" s="200"/>
      <c r="V9" s="200"/>
      <c r="W9" s="201"/>
      <c r="X9" s="83"/>
      <c r="Y9" s="83"/>
      <c r="Z9" s="83"/>
      <c r="AA9" s="83"/>
      <c r="AB9" s="83"/>
      <c r="AC9" s="83"/>
      <c r="AD9" s="83"/>
      <c r="AE9" s="83"/>
      <c r="AF9" s="83"/>
      <c r="AG9" s="83"/>
      <c r="AH9" s="83"/>
      <c r="AI9" s="83"/>
      <c r="AJ9" s="83"/>
      <c r="AK9" s="195"/>
      <c r="AL9" s="195"/>
      <c r="AM9" s="209"/>
      <c r="AN9" s="209"/>
      <c r="AO9" s="203"/>
      <c r="AP9" s="207"/>
      <c r="AQ9" s="207"/>
      <c r="AR9" s="203"/>
      <c r="AS9" s="203"/>
      <c r="AT9" s="203"/>
      <c r="AU9" s="203"/>
      <c r="AV9" s="207"/>
      <c r="AW9" s="207"/>
      <c r="AX9" s="207"/>
      <c r="AY9" s="203"/>
      <c r="AZ9" s="203"/>
      <c r="BA9" s="203"/>
      <c r="BB9" s="203"/>
      <c r="BC9" s="203"/>
      <c r="BD9" s="203"/>
      <c r="BE9" s="203"/>
      <c r="BF9" s="195"/>
      <c r="BG9" s="195"/>
      <c r="BH9" s="195"/>
      <c r="BI9" s="32"/>
    </row>
    <row r="10" spans="1:61" ht="60.75" customHeight="1">
      <c r="A10" s="228"/>
      <c r="B10" s="229"/>
      <c r="C10" s="214"/>
      <c r="D10" s="214"/>
      <c r="E10" s="214"/>
      <c r="F10" s="232"/>
      <c r="G10" s="214"/>
      <c r="H10" s="214"/>
      <c r="I10" s="214"/>
      <c r="J10" s="235"/>
      <c r="K10" s="236"/>
      <c r="L10" s="237"/>
      <c r="M10" s="214"/>
      <c r="N10" s="214" t="s">
        <v>68</v>
      </c>
      <c r="O10" s="214" t="s">
        <v>93</v>
      </c>
      <c r="P10" s="214" t="s">
        <v>94</v>
      </c>
      <c r="Q10" s="217"/>
      <c r="R10" s="214"/>
      <c r="S10" s="232"/>
      <c r="T10" s="83"/>
      <c r="U10" s="200"/>
      <c r="V10" s="200"/>
      <c r="W10" s="201"/>
      <c r="X10" s="83"/>
      <c r="Y10" s="83"/>
      <c r="Z10" s="83"/>
      <c r="AA10" s="83"/>
      <c r="AB10" s="83"/>
      <c r="AC10" s="83"/>
      <c r="AD10" s="83"/>
      <c r="AE10" s="83"/>
      <c r="AF10" s="83"/>
      <c r="AG10" s="83"/>
      <c r="AH10" s="83"/>
      <c r="AI10" s="83"/>
      <c r="AJ10" s="83"/>
      <c r="AK10" s="195"/>
      <c r="AL10" s="195"/>
      <c r="AM10" s="209"/>
      <c r="AN10" s="209"/>
      <c r="AO10" s="203"/>
      <c r="AP10" s="203"/>
      <c r="AQ10" s="203"/>
      <c r="AR10" s="203"/>
      <c r="AS10" s="203"/>
      <c r="AT10" s="203"/>
      <c r="AU10" s="203"/>
      <c r="AV10" s="207"/>
      <c r="AW10" s="207"/>
      <c r="AX10" s="207"/>
      <c r="AY10" s="203"/>
      <c r="AZ10" s="203"/>
      <c r="BA10" s="203"/>
      <c r="BB10" s="203"/>
      <c r="BC10" s="203"/>
      <c r="BD10" s="203"/>
      <c r="BE10" s="203"/>
      <c r="BF10" s="195"/>
      <c r="BG10" s="195"/>
      <c r="BH10" s="195"/>
      <c r="BI10" s="32"/>
    </row>
    <row r="11" spans="1:61" ht="11.25" customHeight="1">
      <c r="A11" s="296" t="s">
        <v>4</v>
      </c>
      <c r="B11" s="297"/>
      <c r="C11" s="284">
        <v>1</v>
      </c>
      <c r="D11" s="284">
        <v>2</v>
      </c>
      <c r="E11" s="284">
        <v>3</v>
      </c>
      <c r="F11" s="284">
        <v>4</v>
      </c>
      <c r="G11" s="284">
        <v>5</v>
      </c>
      <c r="H11" s="284">
        <v>6</v>
      </c>
      <c r="I11" s="284">
        <v>7</v>
      </c>
      <c r="J11" s="284">
        <v>8</v>
      </c>
      <c r="K11" s="284">
        <v>9</v>
      </c>
      <c r="L11" s="284">
        <v>10</v>
      </c>
      <c r="M11" s="284">
        <v>11</v>
      </c>
      <c r="N11" s="284">
        <v>12</v>
      </c>
      <c r="O11" s="284">
        <v>13</v>
      </c>
      <c r="P11" s="284">
        <v>14</v>
      </c>
      <c r="Q11" s="284">
        <v>15</v>
      </c>
      <c r="R11" s="284">
        <v>16</v>
      </c>
      <c r="S11" s="298">
        <v>17</v>
      </c>
      <c r="T11" s="94"/>
      <c r="U11" s="202"/>
      <c r="V11" s="202"/>
      <c r="W11" s="202"/>
      <c r="X11" s="82"/>
      <c r="Y11" s="82"/>
      <c r="Z11" s="82"/>
      <c r="AA11" s="82"/>
      <c r="AB11" s="82"/>
      <c r="AC11" s="82"/>
      <c r="AD11" s="82"/>
      <c r="AE11" s="82"/>
      <c r="AF11" s="82"/>
      <c r="AG11" s="82"/>
      <c r="AH11" s="82"/>
      <c r="AI11" s="82"/>
      <c r="AJ11" s="82"/>
      <c r="AK11" s="82"/>
      <c r="AL11" s="82"/>
      <c r="AM11" s="208"/>
      <c r="AN11" s="208"/>
      <c r="AO11" s="82"/>
      <c r="AP11" s="82"/>
      <c r="AQ11" s="82"/>
      <c r="AR11" s="82"/>
      <c r="AS11" s="82"/>
      <c r="AT11" s="82"/>
      <c r="AU11" s="82"/>
      <c r="AV11" s="82"/>
      <c r="AW11" s="82"/>
      <c r="AX11" s="82"/>
      <c r="AY11" s="82"/>
      <c r="AZ11" s="82"/>
      <c r="BA11" s="82"/>
      <c r="BB11" s="82"/>
      <c r="BC11" s="82"/>
      <c r="BD11" s="82"/>
      <c r="BE11" s="82"/>
      <c r="BF11" s="82"/>
      <c r="BG11" s="32"/>
      <c r="BH11" s="32"/>
      <c r="BI11" s="32"/>
    </row>
    <row r="12" spans="1:61" ht="22.5" customHeight="1">
      <c r="A12" s="299" t="s">
        <v>18</v>
      </c>
      <c r="B12" s="300"/>
      <c r="C12" s="110">
        <f aca="true" t="shared" si="0" ref="C12:R12">+C13+C23</f>
        <v>9108</v>
      </c>
      <c r="D12" s="110">
        <f t="shared" si="0"/>
        <v>4965</v>
      </c>
      <c r="E12" s="110">
        <f t="shared" si="0"/>
        <v>4143</v>
      </c>
      <c r="F12" s="110">
        <f t="shared" si="0"/>
        <v>70</v>
      </c>
      <c r="G12" s="110">
        <f t="shared" si="0"/>
        <v>0</v>
      </c>
      <c r="H12" s="110">
        <f t="shared" si="0"/>
        <v>9038</v>
      </c>
      <c r="I12" s="110">
        <f t="shared" si="0"/>
        <v>8169</v>
      </c>
      <c r="J12" s="110">
        <f t="shared" si="0"/>
        <v>2512</v>
      </c>
      <c r="K12" s="110">
        <f t="shared" si="0"/>
        <v>59</v>
      </c>
      <c r="L12" s="110">
        <f t="shared" si="0"/>
        <v>4819</v>
      </c>
      <c r="M12" s="110">
        <f t="shared" si="0"/>
        <v>328</v>
      </c>
      <c r="N12" s="110">
        <f t="shared" si="0"/>
        <v>4</v>
      </c>
      <c r="O12" s="110">
        <f t="shared" si="0"/>
        <v>0</v>
      </c>
      <c r="P12" s="110">
        <f t="shared" si="0"/>
        <v>447</v>
      </c>
      <c r="Q12" s="110">
        <f t="shared" si="0"/>
        <v>869</v>
      </c>
      <c r="R12" s="110">
        <f t="shared" si="0"/>
        <v>6467</v>
      </c>
      <c r="S12" s="257">
        <f>(((J12+K12))/I12)*100</f>
        <v>31.472640470069773</v>
      </c>
      <c r="T12" s="47"/>
      <c r="U12" s="67"/>
      <c r="V12" s="66"/>
      <c r="W12" s="47"/>
      <c r="X12" s="65"/>
      <c r="Y12" s="64"/>
      <c r="Z12" s="64"/>
      <c r="AA12" s="64"/>
      <c r="AB12" s="64"/>
      <c r="AC12" s="64"/>
      <c r="AD12" s="64"/>
      <c r="AE12" s="64"/>
      <c r="AF12" s="64"/>
      <c r="AG12" s="64"/>
      <c r="AH12" s="64"/>
      <c r="AI12" s="64"/>
      <c r="AJ12" s="64"/>
      <c r="AK12" s="64"/>
      <c r="AL12" s="64"/>
      <c r="AM12" s="204"/>
      <c r="AN12" s="204"/>
      <c r="AO12" s="60"/>
      <c r="AP12" s="60"/>
      <c r="AQ12" s="60"/>
      <c r="AR12" s="60"/>
      <c r="AS12" s="60"/>
      <c r="AT12" s="60"/>
      <c r="AU12" s="60"/>
      <c r="AV12" s="60"/>
      <c r="AW12" s="60"/>
      <c r="AX12" s="60"/>
      <c r="AY12" s="60"/>
      <c r="AZ12" s="60"/>
      <c r="BA12" s="60"/>
      <c r="BB12" s="60"/>
      <c r="BC12" s="60"/>
      <c r="BD12" s="60"/>
      <c r="BE12" s="60"/>
      <c r="BF12" s="55"/>
      <c r="BG12" s="54"/>
      <c r="BH12" s="53"/>
      <c r="BI12" s="52"/>
    </row>
    <row r="13" spans="1:184" s="31" customFormat="1" ht="19.5" customHeight="1">
      <c r="A13" s="254" t="s">
        <v>0</v>
      </c>
      <c r="B13" s="254" t="s">
        <v>95</v>
      </c>
      <c r="C13" s="107">
        <f aca="true" t="shared" si="1" ref="C13:R13">SUM(C14:C22)</f>
        <v>292</v>
      </c>
      <c r="D13" s="107">
        <f t="shared" si="1"/>
        <v>202</v>
      </c>
      <c r="E13" s="107">
        <f t="shared" si="1"/>
        <v>90</v>
      </c>
      <c r="F13" s="107">
        <f t="shared" si="1"/>
        <v>0</v>
      </c>
      <c r="G13" s="107">
        <f t="shared" si="1"/>
        <v>0</v>
      </c>
      <c r="H13" s="107">
        <f t="shared" si="1"/>
        <v>292</v>
      </c>
      <c r="I13" s="107">
        <f t="shared" si="1"/>
        <v>257</v>
      </c>
      <c r="J13" s="107">
        <f t="shared" si="1"/>
        <v>65</v>
      </c>
      <c r="K13" s="107">
        <f t="shared" si="1"/>
        <v>1</v>
      </c>
      <c r="L13" s="107">
        <f t="shared" si="1"/>
        <v>142</v>
      </c>
      <c r="M13" s="107">
        <f t="shared" si="1"/>
        <v>10</v>
      </c>
      <c r="N13" s="107">
        <f t="shared" si="1"/>
        <v>1</v>
      </c>
      <c r="O13" s="107">
        <f t="shared" si="1"/>
        <v>0</v>
      </c>
      <c r="P13" s="107">
        <f t="shared" si="1"/>
        <v>38</v>
      </c>
      <c r="Q13" s="107">
        <f t="shared" si="1"/>
        <v>35</v>
      </c>
      <c r="R13" s="107">
        <f t="shared" si="1"/>
        <v>226</v>
      </c>
      <c r="S13" s="108">
        <f aca="true" t="shared" si="2" ref="S13:S23">(((J13+K13))/I13)*100</f>
        <v>25.680933852140075</v>
      </c>
      <c r="T13" s="47"/>
      <c r="U13" s="67"/>
      <c r="V13" s="66"/>
      <c r="W13" s="47"/>
      <c r="X13" s="65"/>
      <c r="Y13" s="64"/>
      <c r="Z13" s="64"/>
      <c r="AA13" s="64"/>
      <c r="AB13" s="64"/>
      <c r="AC13" s="64"/>
      <c r="AD13" s="64"/>
      <c r="AE13" s="64"/>
      <c r="AF13" s="64"/>
      <c r="AG13" s="64"/>
      <c r="AH13" s="64"/>
      <c r="AI13" s="64"/>
      <c r="AJ13" s="64"/>
      <c r="AK13" s="64"/>
      <c r="AL13" s="64"/>
      <c r="AM13" s="72"/>
      <c r="AN13" s="71"/>
      <c r="AO13" s="60"/>
      <c r="AP13" s="60"/>
      <c r="AQ13" s="60"/>
      <c r="AR13" s="60"/>
      <c r="AS13" s="60"/>
      <c r="AT13" s="60"/>
      <c r="AU13" s="60"/>
      <c r="AV13" s="60"/>
      <c r="AW13" s="60"/>
      <c r="AX13" s="60"/>
      <c r="AY13" s="60"/>
      <c r="AZ13" s="60"/>
      <c r="BA13" s="60"/>
      <c r="BB13" s="60"/>
      <c r="BC13" s="60"/>
      <c r="BD13" s="60"/>
      <c r="BE13" s="60"/>
      <c r="BF13" s="55"/>
      <c r="BG13" s="73"/>
      <c r="BH13" s="53"/>
      <c r="BI13" s="5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32"/>
      <c r="FE13" s="32"/>
      <c r="FF13" s="32"/>
      <c r="FG13" s="32"/>
      <c r="FH13" s="32"/>
      <c r="FI13" s="32"/>
      <c r="FJ13" s="32"/>
      <c r="FK13" s="32"/>
      <c r="FL13" s="32"/>
      <c r="FM13" s="32"/>
      <c r="FN13" s="32"/>
      <c r="FO13" s="32"/>
      <c r="FP13" s="32"/>
      <c r="FQ13" s="32"/>
      <c r="FR13" s="32"/>
      <c r="FS13" s="32"/>
      <c r="FT13" s="32"/>
      <c r="FU13" s="32"/>
      <c r="FV13" s="32"/>
      <c r="FW13" s="32"/>
      <c r="FX13" s="32"/>
      <c r="FY13" s="32"/>
      <c r="FZ13" s="32"/>
      <c r="GA13" s="32"/>
      <c r="GB13" s="51"/>
    </row>
    <row r="14" spans="1:184" s="31" customFormat="1" ht="19.5" customHeight="1">
      <c r="A14" s="74" t="s">
        <v>26</v>
      </c>
      <c r="B14" s="74" t="s">
        <v>98</v>
      </c>
      <c r="C14" s="107">
        <f aca="true" t="shared" si="3" ref="C14:C22">+D14+E14</f>
        <v>7</v>
      </c>
      <c r="D14" s="107">
        <v>0</v>
      </c>
      <c r="E14" s="107">
        <v>7</v>
      </c>
      <c r="F14" s="107">
        <v>0</v>
      </c>
      <c r="G14" s="107">
        <v>0</v>
      </c>
      <c r="H14" s="107">
        <f aca="true" t="shared" si="4" ref="H14:H22">SUM(I14,Q14)</f>
        <v>7</v>
      </c>
      <c r="I14" s="107">
        <f aca="true" t="shared" si="5" ref="I14:I22">SUM(J14:P14)</f>
        <v>7</v>
      </c>
      <c r="J14" s="107">
        <v>6</v>
      </c>
      <c r="K14" s="107">
        <v>1</v>
      </c>
      <c r="L14" s="107">
        <v>0</v>
      </c>
      <c r="M14" s="107">
        <v>0</v>
      </c>
      <c r="N14" s="107">
        <v>0</v>
      </c>
      <c r="O14" s="107">
        <v>0</v>
      </c>
      <c r="P14" s="107">
        <v>0</v>
      </c>
      <c r="Q14" s="107">
        <v>0</v>
      </c>
      <c r="R14" s="261">
        <f aca="true" t="shared" si="6" ref="R14:R22">SUM(L14:Q14)</f>
        <v>0</v>
      </c>
      <c r="S14" s="108">
        <f t="shared" si="2"/>
        <v>100</v>
      </c>
      <c r="T14" s="47"/>
      <c r="U14" s="67"/>
      <c r="V14" s="66"/>
      <c r="W14" s="47"/>
      <c r="X14" s="65"/>
      <c r="Y14" s="64"/>
      <c r="Z14" s="64"/>
      <c r="AA14" s="64"/>
      <c r="AB14" s="64"/>
      <c r="AC14" s="64"/>
      <c r="AD14" s="64"/>
      <c r="AE14" s="64"/>
      <c r="AF14" s="64"/>
      <c r="AG14" s="64"/>
      <c r="AH14" s="64"/>
      <c r="AI14" s="64"/>
      <c r="AJ14" s="64"/>
      <c r="AK14" s="64"/>
      <c r="AL14" s="64"/>
      <c r="AM14" s="63"/>
      <c r="AN14" s="62"/>
      <c r="AO14" s="60"/>
      <c r="AP14" s="80"/>
      <c r="AQ14" s="59"/>
      <c r="AR14" s="59"/>
      <c r="AS14" s="59"/>
      <c r="AT14" s="60"/>
      <c r="AU14" s="60"/>
      <c r="AV14" s="59"/>
      <c r="AW14" s="59"/>
      <c r="AX14" s="59"/>
      <c r="AY14" s="59"/>
      <c r="AZ14" s="59"/>
      <c r="BA14" s="59"/>
      <c r="BB14" s="59"/>
      <c r="BC14" s="69"/>
      <c r="BD14" s="79"/>
      <c r="BE14" s="56"/>
      <c r="BF14" s="55"/>
      <c r="BG14" s="73"/>
      <c r="BH14" s="53"/>
      <c r="BI14" s="5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51"/>
    </row>
    <row r="15" spans="1:184" s="31" customFormat="1" ht="19.5" customHeight="1">
      <c r="A15" s="74" t="s">
        <v>27</v>
      </c>
      <c r="B15" s="74" t="s">
        <v>185</v>
      </c>
      <c r="C15" s="107">
        <f t="shared" si="3"/>
        <v>2</v>
      </c>
      <c r="D15" s="107">
        <v>0</v>
      </c>
      <c r="E15" s="107">
        <v>2</v>
      </c>
      <c r="F15" s="107">
        <v>0</v>
      </c>
      <c r="G15" s="107">
        <v>0</v>
      </c>
      <c r="H15" s="107">
        <f t="shared" si="4"/>
        <v>2</v>
      </c>
      <c r="I15" s="107">
        <f t="shared" si="5"/>
        <v>2</v>
      </c>
      <c r="J15" s="107">
        <v>2</v>
      </c>
      <c r="K15" s="107">
        <v>0</v>
      </c>
      <c r="L15" s="107">
        <v>0</v>
      </c>
      <c r="M15" s="107">
        <v>0</v>
      </c>
      <c r="N15" s="107">
        <v>0</v>
      </c>
      <c r="O15" s="107">
        <v>0</v>
      </c>
      <c r="P15" s="107">
        <v>0</v>
      </c>
      <c r="Q15" s="107">
        <v>0</v>
      </c>
      <c r="R15" s="261">
        <f t="shared" si="6"/>
        <v>0</v>
      </c>
      <c r="S15" s="108">
        <f t="shared" si="2"/>
        <v>100</v>
      </c>
      <c r="T15" s="47"/>
      <c r="U15" s="67"/>
      <c r="V15" s="66"/>
      <c r="W15" s="47"/>
      <c r="X15" s="65"/>
      <c r="Y15" s="64"/>
      <c r="Z15" s="64"/>
      <c r="AA15" s="64"/>
      <c r="AB15" s="64"/>
      <c r="AC15" s="64"/>
      <c r="AD15" s="64"/>
      <c r="AE15" s="64"/>
      <c r="AF15" s="64"/>
      <c r="AG15" s="64"/>
      <c r="AH15" s="64"/>
      <c r="AI15" s="64"/>
      <c r="AJ15" s="64"/>
      <c r="AK15" s="64"/>
      <c r="AL15" s="64"/>
      <c r="AM15" s="63"/>
      <c r="AN15" s="62"/>
      <c r="AO15" s="60"/>
      <c r="AP15" s="80"/>
      <c r="AQ15" s="59"/>
      <c r="AR15" s="59"/>
      <c r="AS15" s="59"/>
      <c r="AT15" s="60"/>
      <c r="AU15" s="60"/>
      <c r="AV15" s="59"/>
      <c r="AW15" s="59"/>
      <c r="AX15" s="59"/>
      <c r="AY15" s="59"/>
      <c r="AZ15" s="59"/>
      <c r="BA15" s="59"/>
      <c r="BB15" s="59"/>
      <c r="BC15" s="69"/>
      <c r="BD15" s="79"/>
      <c r="BE15" s="56"/>
      <c r="BF15" s="55"/>
      <c r="BG15" s="73"/>
      <c r="BH15" s="53"/>
      <c r="BI15" s="5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c r="ET15" s="32"/>
      <c r="EU15" s="32"/>
      <c r="EV15" s="32"/>
      <c r="EW15" s="32"/>
      <c r="EX15" s="32"/>
      <c r="EY15" s="32"/>
      <c r="EZ15" s="32"/>
      <c r="FA15" s="32"/>
      <c r="FB15" s="32"/>
      <c r="FC15" s="32"/>
      <c r="FD15" s="32"/>
      <c r="FE15" s="32"/>
      <c r="FF15" s="32"/>
      <c r="FG15" s="32"/>
      <c r="FH15" s="32"/>
      <c r="FI15" s="32"/>
      <c r="FJ15" s="32"/>
      <c r="FK15" s="32"/>
      <c r="FL15" s="32"/>
      <c r="FM15" s="32"/>
      <c r="FN15" s="32"/>
      <c r="FO15" s="32"/>
      <c r="FP15" s="32"/>
      <c r="FQ15" s="32"/>
      <c r="FR15" s="32"/>
      <c r="FS15" s="32"/>
      <c r="FT15" s="32"/>
      <c r="FU15" s="32"/>
      <c r="FV15" s="32"/>
      <c r="FW15" s="32"/>
      <c r="FX15" s="32"/>
      <c r="FY15" s="32"/>
      <c r="FZ15" s="32"/>
      <c r="GA15" s="32"/>
      <c r="GB15" s="51"/>
    </row>
    <row r="16" spans="1:184" s="31" customFormat="1" ht="19.5" customHeight="1">
      <c r="A16" s="74" t="s">
        <v>32</v>
      </c>
      <c r="B16" s="74" t="s">
        <v>184</v>
      </c>
      <c r="C16" s="107">
        <f t="shared" si="3"/>
        <v>46</v>
      </c>
      <c r="D16" s="107">
        <v>43</v>
      </c>
      <c r="E16" s="107">
        <v>3</v>
      </c>
      <c r="F16" s="107">
        <v>0</v>
      </c>
      <c r="G16" s="107">
        <v>0</v>
      </c>
      <c r="H16" s="107">
        <f t="shared" si="4"/>
        <v>46</v>
      </c>
      <c r="I16" s="107">
        <f t="shared" si="5"/>
        <v>44</v>
      </c>
      <c r="J16" s="107">
        <v>2</v>
      </c>
      <c r="K16" s="107">
        <v>0</v>
      </c>
      <c r="L16" s="107">
        <v>19</v>
      </c>
      <c r="M16" s="107">
        <v>4</v>
      </c>
      <c r="N16" s="107">
        <v>1</v>
      </c>
      <c r="O16" s="107">
        <v>0</v>
      </c>
      <c r="P16" s="107">
        <v>18</v>
      </c>
      <c r="Q16" s="107">
        <v>2</v>
      </c>
      <c r="R16" s="261">
        <f t="shared" si="6"/>
        <v>44</v>
      </c>
      <c r="S16" s="108">
        <f t="shared" si="2"/>
        <v>4.545454545454546</v>
      </c>
      <c r="T16" s="47"/>
      <c r="U16" s="67"/>
      <c r="V16" s="66"/>
      <c r="W16" s="47"/>
      <c r="X16" s="65"/>
      <c r="Y16" s="64"/>
      <c r="Z16" s="64"/>
      <c r="AA16" s="64"/>
      <c r="AB16" s="64"/>
      <c r="AC16" s="64"/>
      <c r="AD16" s="64"/>
      <c r="AE16" s="64"/>
      <c r="AF16" s="64"/>
      <c r="AG16" s="64"/>
      <c r="AH16" s="64"/>
      <c r="AI16" s="64"/>
      <c r="AJ16" s="64"/>
      <c r="AK16" s="64"/>
      <c r="AL16" s="64"/>
      <c r="AM16" s="63"/>
      <c r="AN16" s="62"/>
      <c r="AO16" s="60"/>
      <c r="AP16" s="80"/>
      <c r="AQ16" s="59"/>
      <c r="AR16" s="59"/>
      <c r="AS16" s="59"/>
      <c r="AT16" s="60"/>
      <c r="AU16" s="60"/>
      <c r="AV16" s="59"/>
      <c r="AW16" s="59"/>
      <c r="AX16" s="59"/>
      <c r="AY16" s="59"/>
      <c r="AZ16" s="59"/>
      <c r="BA16" s="59"/>
      <c r="BB16" s="59"/>
      <c r="BC16" s="69"/>
      <c r="BD16" s="79"/>
      <c r="BE16" s="56"/>
      <c r="BF16" s="55"/>
      <c r="BG16" s="73"/>
      <c r="BH16" s="53"/>
      <c r="BI16" s="5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51"/>
    </row>
    <row r="17" spans="1:184" s="31" customFormat="1" ht="19.5" customHeight="1">
      <c r="A17" s="74" t="s">
        <v>39</v>
      </c>
      <c r="B17" s="74" t="s">
        <v>183</v>
      </c>
      <c r="C17" s="107">
        <f t="shared" si="3"/>
        <v>45</v>
      </c>
      <c r="D17" s="107">
        <v>35</v>
      </c>
      <c r="E17" s="107">
        <v>10</v>
      </c>
      <c r="F17" s="107">
        <v>0</v>
      </c>
      <c r="G17" s="107">
        <v>0</v>
      </c>
      <c r="H17" s="107">
        <f t="shared" si="4"/>
        <v>45</v>
      </c>
      <c r="I17" s="107">
        <f t="shared" si="5"/>
        <v>44</v>
      </c>
      <c r="J17" s="107">
        <v>3</v>
      </c>
      <c r="K17" s="107">
        <v>0</v>
      </c>
      <c r="L17" s="107">
        <v>38</v>
      </c>
      <c r="M17" s="107">
        <v>3</v>
      </c>
      <c r="N17" s="107">
        <v>0</v>
      </c>
      <c r="O17" s="107">
        <v>0</v>
      </c>
      <c r="P17" s="107">
        <v>0</v>
      </c>
      <c r="Q17" s="107">
        <v>1</v>
      </c>
      <c r="R17" s="261">
        <f t="shared" si="6"/>
        <v>42</v>
      </c>
      <c r="S17" s="108">
        <f t="shared" si="2"/>
        <v>6.8181818181818175</v>
      </c>
      <c r="T17" s="47"/>
      <c r="U17" s="67"/>
      <c r="V17" s="66"/>
      <c r="W17" s="47"/>
      <c r="X17" s="65"/>
      <c r="Y17" s="64"/>
      <c r="Z17" s="64"/>
      <c r="AA17" s="64"/>
      <c r="AB17" s="64"/>
      <c r="AC17" s="64"/>
      <c r="AD17" s="64"/>
      <c r="AE17" s="64"/>
      <c r="AF17" s="64"/>
      <c r="AG17" s="64"/>
      <c r="AH17" s="64"/>
      <c r="AI17" s="64"/>
      <c r="AJ17" s="64"/>
      <c r="AK17" s="64"/>
      <c r="AL17" s="64"/>
      <c r="AM17" s="63"/>
      <c r="AN17" s="62"/>
      <c r="AO17" s="60"/>
      <c r="AP17" s="80"/>
      <c r="AQ17" s="59"/>
      <c r="AR17" s="59"/>
      <c r="AS17" s="59"/>
      <c r="AT17" s="60"/>
      <c r="AU17" s="60"/>
      <c r="AV17" s="59"/>
      <c r="AW17" s="59"/>
      <c r="AX17" s="59"/>
      <c r="AY17" s="59"/>
      <c r="AZ17" s="59"/>
      <c r="BA17" s="59"/>
      <c r="BB17" s="59"/>
      <c r="BC17" s="69"/>
      <c r="BD17" s="79"/>
      <c r="BE17" s="56"/>
      <c r="BF17" s="55"/>
      <c r="BG17" s="73"/>
      <c r="BH17" s="53"/>
      <c r="BI17" s="5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32"/>
      <c r="ER17" s="32"/>
      <c r="ES17" s="32"/>
      <c r="ET17" s="32"/>
      <c r="EU17" s="32"/>
      <c r="EV17" s="32"/>
      <c r="EW17" s="32"/>
      <c r="EX17" s="32"/>
      <c r="EY17" s="32"/>
      <c r="EZ17" s="32"/>
      <c r="FA17" s="32"/>
      <c r="FB17" s="32"/>
      <c r="FC17" s="32"/>
      <c r="FD17" s="32"/>
      <c r="FE17" s="32"/>
      <c r="FF17" s="32"/>
      <c r="FG17" s="32"/>
      <c r="FH17" s="32"/>
      <c r="FI17" s="32"/>
      <c r="FJ17" s="32"/>
      <c r="FK17" s="32"/>
      <c r="FL17" s="32"/>
      <c r="FM17" s="32"/>
      <c r="FN17" s="32"/>
      <c r="FO17" s="32"/>
      <c r="FP17" s="32"/>
      <c r="FQ17" s="32"/>
      <c r="FR17" s="32"/>
      <c r="FS17" s="32"/>
      <c r="FT17" s="32"/>
      <c r="FU17" s="32"/>
      <c r="FV17" s="32"/>
      <c r="FW17" s="32"/>
      <c r="FX17" s="32"/>
      <c r="FY17" s="32"/>
      <c r="FZ17" s="32"/>
      <c r="GA17" s="32"/>
      <c r="GB17" s="51"/>
    </row>
    <row r="18" spans="1:184" s="31" customFormat="1" ht="19.5" customHeight="1">
      <c r="A18" s="74" t="s">
        <v>40</v>
      </c>
      <c r="B18" s="95" t="s">
        <v>182</v>
      </c>
      <c r="C18" s="107">
        <f t="shared" si="3"/>
        <v>42</v>
      </c>
      <c r="D18" s="107">
        <v>27</v>
      </c>
      <c r="E18" s="107">
        <v>15</v>
      </c>
      <c r="F18" s="107">
        <v>0</v>
      </c>
      <c r="G18" s="107">
        <v>0</v>
      </c>
      <c r="H18" s="107">
        <f t="shared" si="4"/>
        <v>42</v>
      </c>
      <c r="I18" s="107">
        <f t="shared" si="5"/>
        <v>32</v>
      </c>
      <c r="J18" s="107">
        <v>14</v>
      </c>
      <c r="K18" s="107">
        <v>0</v>
      </c>
      <c r="L18" s="107">
        <v>16</v>
      </c>
      <c r="M18" s="107">
        <v>0</v>
      </c>
      <c r="N18" s="107">
        <v>0</v>
      </c>
      <c r="O18" s="107">
        <v>0</v>
      </c>
      <c r="P18" s="107">
        <v>2</v>
      </c>
      <c r="Q18" s="107">
        <v>10</v>
      </c>
      <c r="R18" s="261">
        <f t="shared" si="6"/>
        <v>28</v>
      </c>
      <c r="S18" s="108">
        <f t="shared" si="2"/>
        <v>43.75</v>
      </c>
      <c r="T18" s="47"/>
      <c r="U18" s="67"/>
      <c r="V18" s="66"/>
      <c r="W18" s="47"/>
      <c r="X18" s="65"/>
      <c r="Y18" s="64"/>
      <c r="Z18" s="64"/>
      <c r="AA18" s="64"/>
      <c r="AB18" s="64"/>
      <c r="AC18" s="64"/>
      <c r="AD18" s="64"/>
      <c r="AE18" s="64"/>
      <c r="AF18" s="64"/>
      <c r="AG18" s="64"/>
      <c r="AH18" s="64"/>
      <c r="AI18" s="64"/>
      <c r="AJ18" s="64"/>
      <c r="AK18" s="64"/>
      <c r="AL18" s="64"/>
      <c r="AM18" s="63"/>
      <c r="AN18" s="62"/>
      <c r="AO18" s="60"/>
      <c r="AP18" s="80"/>
      <c r="AQ18" s="59"/>
      <c r="AR18" s="59"/>
      <c r="AS18" s="59"/>
      <c r="AT18" s="60"/>
      <c r="AU18" s="60"/>
      <c r="AV18" s="59"/>
      <c r="AW18" s="59"/>
      <c r="AX18" s="59"/>
      <c r="AY18" s="59"/>
      <c r="AZ18" s="59"/>
      <c r="BA18" s="59"/>
      <c r="BB18" s="59"/>
      <c r="BC18" s="69"/>
      <c r="BD18" s="79"/>
      <c r="BE18" s="56"/>
      <c r="BF18" s="55"/>
      <c r="BG18" s="73"/>
      <c r="BH18" s="53"/>
      <c r="BI18" s="5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c r="EB18" s="32"/>
      <c r="EC18" s="32"/>
      <c r="ED18" s="32"/>
      <c r="EE18" s="32"/>
      <c r="EF18" s="32"/>
      <c r="EG18" s="32"/>
      <c r="EH18" s="32"/>
      <c r="EI18" s="32"/>
      <c r="EJ18" s="32"/>
      <c r="EK18" s="32"/>
      <c r="EL18" s="32"/>
      <c r="EM18" s="32"/>
      <c r="EN18" s="32"/>
      <c r="EO18" s="32"/>
      <c r="EP18" s="32"/>
      <c r="EQ18" s="32"/>
      <c r="ER18" s="32"/>
      <c r="ES18" s="32"/>
      <c r="ET18" s="32"/>
      <c r="EU18" s="32"/>
      <c r="EV18" s="32"/>
      <c r="EW18" s="32"/>
      <c r="EX18" s="32"/>
      <c r="EY18" s="32"/>
      <c r="EZ18" s="32"/>
      <c r="FA18" s="32"/>
      <c r="FB18" s="32"/>
      <c r="FC18" s="32"/>
      <c r="FD18" s="32"/>
      <c r="FE18" s="32"/>
      <c r="FF18" s="32"/>
      <c r="FG18" s="32"/>
      <c r="FH18" s="32"/>
      <c r="FI18" s="32"/>
      <c r="FJ18" s="32"/>
      <c r="FK18" s="32"/>
      <c r="FL18" s="32"/>
      <c r="FM18" s="32"/>
      <c r="FN18" s="32"/>
      <c r="FO18" s="32"/>
      <c r="FP18" s="32"/>
      <c r="FQ18" s="32"/>
      <c r="FR18" s="32"/>
      <c r="FS18" s="32"/>
      <c r="FT18" s="32"/>
      <c r="FU18" s="32"/>
      <c r="FV18" s="32"/>
      <c r="FW18" s="32"/>
      <c r="FX18" s="32"/>
      <c r="FY18" s="32"/>
      <c r="FZ18" s="32"/>
      <c r="GA18" s="32"/>
      <c r="GB18" s="51"/>
    </row>
    <row r="19" spans="1:184" s="31" customFormat="1" ht="19.5" customHeight="1">
      <c r="A19" s="74" t="s">
        <v>41</v>
      </c>
      <c r="B19" s="74" t="s">
        <v>181</v>
      </c>
      <c r="C19" s="107">
        <f t="shared" si="3"/>
        <v>32</v>
      </c>
      <c r="D19" s="107">
        <v>25</v>
      </c>
      <c r="E19" s="107">
        <v>7</v>
      </c>
      <c r="F19" s="107">
        <v>0</v>
      </c>
      <c r="G19" s="107">
        <v>0</v>
      </c>
      <c r="H19" s="107">
        <f t="shared" si="4"/>
        <v>32</v>
      </c>
      <c r="I19" s="107">
        <f t="shared" si="5"/>
        <v>29</v>
      </c>
      <c r="J19" s="107">
        <v>3</v>
      </c>
      <c r="K19" s="107">
        <v>0</v>
      </c>
      <c r="L19" s="107">
        <v>24</v>
      </c>
      <c r="M19" s="107">
        <v>2</v>
      </c>
      <c r="N19" s="107">
        <v>0</v>
      </c>
      <c r="O19" s="107">
        <v>0</v>
      </c>
      <c r="P19" s="107">
        <v>0</v>
      </c>
      <c r="Q19" s="107">
        <v>3</v>
      </c>
      <c r="R19" s="261">
        <f t="shared" si="6"/>
        <v>29</v>
      </c>
      <c r="S19" s="108">
        <f t="shared" si="2"/>
        <v>10.344827586206897</v>
      </c>
      <c r="T19" s="47"/>
      <c r="U19" s="67"/>
      <c r="V19" s="66"/>
      <c r="W19" s="47"/>
      <c r="X19" s="65"/>
      <c r="Y19" s="64"/>
      <c r="Z19" s="64"/>
      <c r="AA19" s="64"/>
      <c r="AB19" s="64"/>
      <c r="AC19" s="64"/>
      <c r="AD19" s="64"/>
      <c r="AE19" s="64"/>
      <c r="AF19" s="64"/>
      <c r="AG19" s="64"/>
      <c r="AH19" s="64"/>
      <c r="AI19" s="64"/>
      <c r="AJ19" s="64"/>
      <c r="AK19" s="64"/>
      <c r="AL19" s="64"/>
      <c r="AM19" s="63"/>
      <c r="AN19" s="81"/>
      <c r="AO19" s="60"/>
      <c r="AP19" s="80"/>
      <c r="AQ19" s="59"/>
      <c r="AR19" s="59"/>
      <c r="AS19" s="59"/>
      <c r="AT19" s="60"/>
      <c r="AU19" s="60"/>
      <c r="AV19" s="59"/>
      <c r="AW19" s="59"/>
      <c r="AX19" s="59"/>
      <c r="AY19" s="59"/>
      <c r="AZ19" s="59"/>
      <c r="BA19" s="59"/>
      <c r="BB19" s="59"/>
      <c r="BC19" s="69"/>
      <c r="BD19" s="79"/>
      <c r="BE19" s="56"/>
      <c r="BF19" s="55"/>
      <c r="BG19" s="73"/>
      <c r="BH19" s="53"/>
      <c r="BI19" s="5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c r="EC19" s="32"/>
      <c r="ED19" s="32"/>
      <c r="EE19" s="32"/>
      <c r="EF19" s="32"/>
      <c r="EG19" s="32"/>
      <c r="EH19" s="32"/>
      <c r="EI19" s="32"/>
      <c r="EJ19" s="32"/>
      <c r="EK19" s="32"/>
      <c r="EL19" s="32"/>
      <c r="EM19" s="32"/>
      <c r="EN19" s="32"/>
      <c r="EO19" s="32"/>
      <c r="EP19" s="32"/>
      <c r="EQ19" s="32"/>
      <c r="ER19" s="32"/>
      <c r="ES19" s="32"/>
      <c r="ET19" s="32"/>
      <c r="EU19" s="32"/>
      <c r="EV19" s="32"/>
      <c r="EW19" s="32"/>
      <c r="EX19" s="32"/>
      <c r="EY19" s="32"/>
      <c r="EZ19" s="32"/>
      <c r="FA19" s="32"/>
      <c r="FB19" s="32"/>
      <c r="FC19" s="32"/>
      <c r="FD19" s="32"/>
      <c r="FE19" s="32"/>
      <c r="FF19" s="32"/>
      <c r="FG19" s="32"/>
      <c r="FH19" s="32"/>
      <c r="FI19" s="32"/>
      <c r="FJ19" s="32"/>
      <c r="FK19" s="32"/>
      <c r="FL19" s="32"/>
      <c r="FM19" s="32"/>
      <c r="FN19" s="32"/>
      <c r="FO19" s="32"/>
      <c r="FP19" s="32"/>
      <c r="FQ19" s="32"/>
      <c r="FR19" s="32"/>
      <c r="FS19" s="32"/>
      <c r="FT19" s="32"/>
      <c r="FU19" s="32"/>
      <c r="FV19" s="32"/>
      <c r="FW19" s="32"/>
      <c r="FX19" s="32"/>
      <c r="FY19" s="32"/>
      <c r="FZ19" s="32"/>
      <c r="GA19" s="32"/>
      <c r="GB19" s="51"/>
    </row>
    <row r="20" spans="1:184" s="31" customFormat="1" ht="19.5" customHeight="1">
      <c r="A20" s="74" t="s">
        <v>42</v>
      </c>
      <c r="B20" s="74" t="s">
        <v>180</v>
      </c>
      <c r="C20" s="107">
        <f t="shared" si="3"/>
        <v>39</v>
      </c>
      <c r="D20" s="107">
        <v>23</v>
      </c>
      <c r="E20" s="107">
        <v>16</v>
      </c>
      <c r="F20" s="107">
        <v>0</v>
      </c>
      <c r="G20" s="107">
        <v>0</v>
      </c>
      <c r="H20" s="107">
        <f t="shared" si="4"/>
        <v>39</v>
      </c>
      <c r="I20" s="107">
        <f t="shared" si="5"/>
        <v>36</v>
      </c>
      <c r="J20" s="107">
        <v>8</v>
      </c>
      <c r="K20" s="107">
        <v>0</v>
      </c>
      <c r="L20" s="107">
        <v>28</v>
      </c>
      <c r="M20" s="107">
        <v>0</v>
      </c>
      <c r="N20" s="107">
        <v>0</v>
      </c>
      <c r="O20" s="107">
        <v>0</v>
      </c>
      <c r="P20" s="107">
        <v>0</v>
      </c>
      <c r="Q20" s="107">
        <v>3</v>
      </c>
      <c r="R20" s="261">
        <f t="shared" si="6"/>
        <v>31</v>
      </c>
      <c r="S20" s="108">
        <f t="shared" si="2"/>
        <v>22.22222222222222</v>
      </c>
      <c r="T20" s="47"/>
      <c r="U20" s="67"/>
      <c r="V20" s="66"/>
      <c r="W20" s="47"/>
      <c r="X20" s="65"/>
      <c r="Y20" s="64"/>
      <c r="Z20" s="64"/>
      <c r="AA20" s="64"/>
      <c r="AB20" s="64"/>
      <c r="AC20" s="64"/>
      <c r="AD20" s="64"/>
      <c r="AE20" s="64"/>
      <c r="AF20" s="64"/>
      <c r="AG20" s="64"/>
      <c r="AH20" s="64"/>
      <c r="AI20" s="64"/>
      <c r="AJ20" s="64"/>
      <c r="AK20" s="64"/>
      <c r="AL20" s="64"/>
      <c r="AM20" s="63"/>
      <c r="AN20" s="62"/>
      <c r="AO20" s="60"/>
      <c r="AP20" s="80"/>
      <c r="AQ20" s="59"/>
      <c r="AR20" s="59"/>
      <c r="AS20" s="59"/>
      <c r="AT20" s="60"/>
      <c r="AU20" s="60"/>
      <c r="AV20" s="59"/>
      <c r="AW20" s="59"/>
      <c r="AX20" s="59"/>
      <c r="AY20" s="59"/>
      <c r="AZ20" s="59"/>
      <c r="BA20" s="59"/>
      <c r="BB20" s="59"/>
      <c r="BC20" s="69"/>
      <c r="BD20" s="79"/>
      <c r="BE20" s="56"/>
      <c r="BF20" s="55"/>
      <c r="BG20" s="73"/>
      <c r="BH20" s="53"/>
      <c r="BI20" s="5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c r="EB20" s="32"/>
      <c r="EC20" s="32"/>
      <c r="ED20" s="32"/>
      <c r="EE20" s="32"/>
      <c r="EF20" s="32"/>
      <c r="EG20" s="32"/>
      <c r="EH20" s="32"/>
      <c r="EI20" s="32"/>
      <c r="EJ20" s="32"/>
      <c r="EK20" s="32"/>
      <c r="EL20" s="32"/>
      <c r="EM20" s="32"/>
      <c r="EN20" s="32"/>
      <c r="EO20" s="32"/>
      <c r="EP20" s="32"/>
      <c r="EQ20" s="32"/>
      <c r="ER20" s="32"/>
      <c r="ES20" s="32"/>
      <c r="ET20" s="32"/>
      <c r="EU20" s="32"/>
      <c r="EV20" s="32"/>
      <c r="EW20" s="32"/>
      <c r="EX20" s="32"/>
      <c r="EY20" s="32"/>
      <c r="EZ20" s="32"/>
      <c r="FA20" s="32"/>
      <c r="FB20" s="32"/>
      <c r="FC20" s="32"/>
      <c r="FD20" s="32"/>
      <c r="FE20" s="32"/>
      <c r="FF20" s="32"/>
      <c r="FG20" s="32"/>
      <c r="FH20" s="32"/>
      <c r="FI20" s="32"/>
      <c r="FJ20" s="32"/>
      <c r="FK20" s="32"/>
      <c r="FL20" s="32"/>
      <c r="FM20" s="32"/>
      <c r="FN20" s="32"/>
      <c r="FO20" s="32"/>
      <c r="FP20" s="32"/>
      <c r="FQ20" s="32"/>
      <c r="FR20" s="32"/>
      <c r="FS20" s="32"/>
      <c r="FT20" s="32"/>
      <c r="FU20" s="32"/>
      <c r="FV20" s="32"/>
      <c r="FW20" s="32"/>
      <c r="FX20" s="32"/>
      <c r="FY20" s="32"/>
      <c r="FZ20" s="32"/>
      <c r="GA20" s="32"/>
      <c r="GB20" s="51"/>
    </row>
    <row r="21" spans="1:184" s="31" customFormat="1" ht="19.5" customHeight="1">
      <c r="A21" s="74" t="s">
        <v>43</v>
      </c>
      <c r="B21" s="74" t="s">
        <v>179</v>
      </c>
      <c r="C21" s="107">
        <f t="shared" si="3"/>
        <v>55</v>
      </c>
      <c r="D21" s="107">
        <v>36</v>
      </c>
      <c r="E21" s="107">
        <v>19</v>
      </c>
      <c r="F21" s="107">
        <v>0</v>
      </c>
      <c r="G21" s="107">
        <v>0</v>
      </c>
      <c r="H21" s="107">
        <f t="shared" si="4"/>
        <v>55</v>
      </c>
      <c r="I21" s="107">
        <f t="shared" si="5"/>
        <v>42</v>
      </c>
      <c r="J21" s="107">
        <v>22</v>
      </c>
      <c r="K21" s="107">
        <v>0</v>
      </c>
      <c r="L21" s="107">
        <v>7</v>
      </c>
      <c r="M21" s="107">
        <v>1</v>
      </c>
      <c r="N21" s="107">
        <v>0</v>
      </c>
      <c r="O21" s="107">
        <v>0</v>
      </c>
      <c r="P21" s="107">
        <v>12</v>
      </c>
      <c r="Q21" s="107">
        <v>13</v>
      </c>
      <c r="R21" s="261">
        <f t="shared" si="6"/>
        <v>33</v>
      </c>
      <c r="S21" s="108">
        <f t="shared" si="2"/>
        <v>52.38095238095239</v>
      </c>
      <c r="T21" s="47"/>
      <c r="U21" s="67"/>
      <c r="V21" s="66"/>
      <c r="W21" s="47"/>
      <c r="X21" s="65"/>
      <c r="Y21" s="64"/>
      <c r="Z21" s="64"/>
      <c r="AA21" s="64"/>
      <c r="AB21" s="64"/>
      <c r="AC21" s="64"/>
      <c r="AD21" s="64"/>
      <c r="AE21" s="64"/>
      <c r="AF21" s="64"/>
      <c r="AG21" s="64"/>
      <c r="AH21" s="64"/>
      <c r="AI21" s="64"/>
      <c r="AJ21" s="64"/>
      <c r="AK21" s="64"/>
      <c r="AL21" s="64"/>
      <c r="AM21" s="63"/>
      <c r="AN21" s="62"/>
      <c r="AO21" s="60"/>
      <c r="AP21" s="80"/>
      <c r="AQ21" s="59"/>
      <c r="AR21" s="59"/>
      <c r="AS21" s="59"/>
      <c r="AT21" s="60"/>
      <c r="AU21" s="60"/>
      <c r="AV21" s="59"/>
      <c r="AW21" s="59"/>
      <c r="AX21" s="59"/>
      <c r="AY21" s="59"/>
      <c r="AZ21" s="59"/>
      <c r="BA21" s="59"/>
      <c r="BB21" s="59"/>
      <c r="BC21" s="69"/>
      <c r="BD21" s="79"/>
      <c r="BE21" s="56"/>
      <c r="BF21" s="55"/>
      <c r="BG21" s="73"/>
      <c r="BH21" s="53"/>
      <c r="BI21" s="5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2"/>
      <c r="ED21" s="32"/>
      <c r="EE21" s="32"/>
      <c r="EF21" s="32"/>
      <c r="EG21" s="32"/>
      <c r="EH21" s="32"/>
      <c r="EI21" s="32"/>
      <c r="EJ21" s="32"/>
      <c r="EK21" s="32"/>
      <c r="EL21" s="32"/>
      <c r="EM21" s="32"/>
      <c r="EN21" s="32"/>
      <c r="EO21" s="32"/>
      <c r="EP21" s="32"/>
      <c r="EQ21" s="32"/>
      <c r="ER21" s="32"/>
      <c r="ES21" s="32"/>
      <c r="ET21" s="32"/>
      <c r="EU21" s="32"/>
      <c r="EV21" s="32"/>
      <c r="EW21" s="32"/>
      <c r="EX21" s="32"/>
      <c r="EY21" s="32"/>
      <c r="EZ21" s="32"/>
      <c r="FA21" s="32"/>
      <c r="FB21" s="32"/>
      <c r="FC21" s="32"/>
      <c r="FD21" s="32"/>
      <c r="FE21" s="32"/>
      <c r="FF21" s="32"/>
      <c r="FG21" s="32"/>
      <c r="FH21" s="32"/>
      <c r="FI21" s="32"/>
      <c r="FJ21" s="32"/>
      <c r="FK21" s="32"/>
      <c r="FL21" s="32"/>
      <c r="FM21" s="32"/>
      <c r="FN21" s="32"/>
      <c r="FO21" s="32"/>
      <c r="FP21" s="32"/>
      <c r="FQ21" s="32"/>
      <c r="FR21" s="32"/>
      <c r="FS21" s="32"/>
      <c r="FT21" s="32"/>
      <c r="FU21" s="32"/>
      <c r="FV21" s="32"/>
      <c r="FW21" s="32"/>
      <c r="FX21" s="32"/>
      <c r="FY21" s="32"/>
      <c r="FZ21" s="32"/>
      <c r="GA21" s="32"/>
      <c r="GB21" s="51"/>
    </row>
    <row r="22" spans="1:184" s="31" customFormat="1" ht="19.5" customHeight="1">
      <c r="A22" s="74" t="s">
        <v>44</v>
      </c>
      <c r="B22" s="74" t="s">
        <v>201</v>
      </c>
      <c r="C22" s="107">
        <f t="shared" si="3"/>
        <v>24</v>
      </c>
      <c r="D22" s="107">
        <v>13</v>
      </c>
      <c r="E22" s="107">
        <v>11</v>
      </c>
      <c r="F22" s="107">
        <v>0</v>
      </c>
      <c r="G22" s="107">
        <v>0</v>
      </c>
      <c r="H22" s="107">
        <f t="shared" si="4"/>
        <v>24</v>
      </c>
      <c r="I22" s="107">
        <f t="shared" si="5"/>
        <v>21</v>
      </c>
      <c r="J22" s="107">
        <v>5</v>
      </c>
      <c r="K22" s="107">
        <v>0</v>
      </c>
      <c r="L22" s="107">
        <v>10</v>
      </c>
      <c r="M22" s="107">
        <v>0</v>
      </c>
      <c r="N22" s="107">
        <v>0</v>
      </c>
      <c r="O22" s="107">
        <v>0</v>
      </c>
      <c r="P22" s="107">
        <v>6</v>
      </c>
      <c r="Q22" s="107">
        <v>3</v>
      </c>
      <c r="R22" s="261">
        <f t="shared" si="6"/>
        <v>19</v>
      </c>
      <c r="S22" s="108">
        <f t="shared" si="2"/>
        <v>23.809523809523807</v>
      </c>
      <c r="T22" s="47"/>
      <c r="U22" s="67"/>
      <c r="V22" s="66"/>
      <c r="W22" s="47"/>
      <c r="X22" s="65"/>
      <c r="Y22" s="64"/>
      <c r="Z22" s="64"/>
      <c r="AA22" s="64"/>
      <c r="AB22" s="64"/>
      <c r="AC22" s="64"/>
      <c r="AD22" s="64"/>
      <c r="AE22" s="64"/>
      <c r="AF22" s="64"/>
      <c r="AG22" s="64"/>
      <c r="AH22" s="64"/>
      <c r="AI22" s="64"/>
      <c r="AJ22" s="64"/>
      <c r="AK22" s="64"/>
      <c r="AL22" s="64"/>
      <c r="AM22" s="63"/>
      <c r="AN22" s="62"/>
      <c r="AO22" s="60"/>
      <c r="AP22" s="80"/>
      <c r="AQ22" s="59"/>
      <c r="AR22" s="59"/>
      <c r="AS22" s="59"/>
      <c r="AT22" s="60"/>
      <c r="AU22" s="60"/>
      <c r="AV22" s="59"/>
      <c r="AW22" s="59"/>
      <c r="AX22" s="59"/>
      <c r="AY22" s="59"/>
      <c r="AZ22" s="59"/>
      <c r="BA22" s="59"/>
      <c r="BB22" s="59"/>
      <c r="BC22" s="69"/>
      <c r="BD22" s="79"/>
      <c r="BE22" s="56"/>
      <c r="BF22" s="55"/>
      <c r="BG22" s="73"/>
      <c r="BH22" s="53"/>
      <c r="BI22" s="5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c r="EZ22" s="32"/>
      <c r="FA22" s="32"/>
      <c r="FB22" s="32"/>
      <c r="FC22" s="32"/>
      <c r="FD22" s="32"/>
      <c r="FE22" s="32"/>
      <c r="FF22" s="32"/>
      <c r="FG22" s="32"/>
      <c r="FH22" s="32"/>
      <c r="FI22" s="32"/>
      <c r="FJ22" s="32"/>
      <c r="FK22" s="32"/>
      <c r="FL22" s="32"/>
      <c r="FM22" s="32"/>
      <c r="FN22" s="32"/>
      <c r="FO22" s="32"/>
      <c r="FP22" s="32"/>
      <c r="FQ22" s="32"/>
      <c r="FR22" s="32"/>
      <c r="FS22" s="32"/>
      <c r="FT22" s="32"/>
      <c r="FU22" s="32"/>
      <c r="FV22" s="32"/>
      <c r="FW22" s="32"/>
      <c r="FX22" s="32"/>
      <c r="FY22" s="32"/>
      <c r="FZ22" s="32"/>
      <c r="GA22" s="32"/>
      <c r="GB22" s="51"/>
    </row>
    <row r="23" spans="1:184" s="31" customFormat="1" ht="19.5" customHeight="1">
      <c r="A23" s="254" t="s">
        <v>1</v>
      </c>
      <c r="B23" s="254" t="s">
        <v>11</v>
      </c>
      <c r="C23" s="107">
        <f>+D23+E23</f>
        <v>8816</v>
      </c>
      <c r="D23" s="107">
        <f>SUM(D24,D32,D38,D43,D48,D54,D60,D66,D72)</f>
        <v>4763</v>
      </c>
      <c r="E23" s="107">
        <f>SUM(E24,E32,E38,E43,E48,E54,E60,E66,E72)</f>
        <v>4053</v>
      </c>
      <c r="F23" s="107">
        <f>SUM(F24,F32,F38,F43,F48,F54,F60,F66,F72)</f>
        <v>70</v>
      </c>
      <c r="G23" s="107">
        <f>SUM(G24,G32,G38,G43,G48,G54,G60,G66,G72)</f>
        <v>0</v>
      </c>
      <c r="H23" s="107">
        <f>SUM(I23,Q23)</f>
        <v>8746</v>
      </c>
      <c r="I23" s="107">
        <f>SUM(J23:P23)</f>
        <v>7912</v>
      </c>
      <c r="J23" s="107">
        <f aca="true" t="shared" si="7" ref="J23:R23">SUM(J24,J32,J38,J43,J48,J54,J60,J66,J72)</f>
        <v>2447</v>
      </c>
      <c r="K23" s="107">
        <f t="shared" si="7"/>
        <v>58</v>
      </c>
      <c r="L23" s="107">
        <f t="shared" si="7"/>
        <v>4677</v>
      </c>
      <c r="M23" s="107">
        <f t="shared" si="7"/>
        <v>318</v>
      </c>
      <c r="N23" s="107">
        <f t="shared" si="7"/>
        <v>3</v>
      </c>
      <c r="O23" s="107">
        <f t="shared" si="7"/>
        <v>0</v>
      </c>
      <c r="P23" s="107">
        <f t="shared" si="7"/>
        <v>409</v>
      </c>
      <c r="Q23" s="107">
        <f t="shared" si="7"/>
        <v>834</v>
      </c>
      <c r="R23" s="107">
        <f t="shared" si="7"/>
        <v>6241</v>
      </c>
      <c r="S23" s="108">
        <f t="shared" si="2"/>
        <v>31.66076845298281</v>
      </c>
      <c r="T23" s="47"/>
      <c r="U23" s="67"/>
      <c r="V23" s="66"/>
      <c r="W23" s="47"/>
      <c r="X23" s="65"/>
      <c r="Y23" s="64"/>
      <c r="Z23" s="64"/>
      <c r="AA23" s="64"/>
      <c r="AB23" s="64"/>
      <c r="AC23" s="64"/>
      <c r="AD23" s="64"/>
      <c r="AE23" s="64"/>
      <c r="AF23" s="64"/>
      <c r="AG23" s="64"/>
      <c r="AH23" s="64"/>
      <c r="AI23" s="64"/>
      <c r="AJ23" s="64"/>
      <c r="AK23" s="64"/>
      <c r="AL23" s="64"/>
      <c r="AM23" s="72"/>
      <c r="AN23" s="71"/>
      <c r="AO23" s="60"/>
      <c r="AP23" s="60"/>
      <c r="AQ23" s="60"/>
      <c r="AR23" s="60"/>
      <c r="AS23" s="60"/>
      <c r="AT23" s="60"/>
      <c r="AU23" s="60"/>
      <c r="AV23" s="60"/>
      <c r="AW23" s="60"/>
      <c r="AX23" s="60"/>
      <c r="AY23" s="60"/>
      <c r="AZ23" s="60"/>
      <c r="BA23" s="60"/>
      <c r="BB23" s="60"/>
      <c r="BC23" s="60"/>
      <c r="BD23" s="60"/>
      <c r="BE23" s="60"/>
      <c r="BF23" s="55"/>
      <c r="BG23" s="73"/>
      <c r="BH23" s="53"/>
      <c r="BI23" s="5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c r="FC23" s="32"/>
      <c r="FD23" s="32"/>
      <c r="FE23" s="32"/>
      <c r="FF23" s="32"/>
      <c r="FG23" s="32"/>
      <c r="FH23" s="32"/>
      <c r="FI23" s="32"/>
      <c r="FJ23" s="32"/>
      <c r="FK23" s="32"/>
      <c r="FL23" s="32"/>
      <c r="FM23" s="32"/>
      <c r="FN23" s="32"/>
      <c r="FO23" s="32"/>
      <c r="FP23" s="32"/>
      <c r="FQ23" s="32"/>
      <c r="FR23" s="32"/>
      <c r="FS23" s="32"/>
      <c r="FT23" s="32"/>
      <c r="FU23" s="32"/>
      <c r="FV23" s="32"/>
      <c r="FW23" s="32"/>
      <c r="FX23" s="32"/>
      <c r="FY23" s="32"/>
      <c r="FZ23" s="32"/>
      <c r="GA23" s="32"/>
      <c r="GB23" s="51"/>
    </row>
    <row r="24" spans="1:184" s="31" customFormat="1" ht="19.5" customHeight="1">
      <c r="A24" s="254" t="s">
        <v>26</v>
      </c>
      <c r="B24" s="254" t="s">
        <v>178</v>
      </c>
      <c r="C24" s="107">
        <f aca="true" t="shared" si="8" ref="C24:C31">+D24+E24</f>
        <v>1222</v>
      </c>
      <c r="D24" s="107">
        <f>SUM(D25:D31)</f>
        <v>760</v>
      </c>
      <c r="E24" s="107">
        <f>SUM(E25:E31)</f>
        <v>462</v>
      </c>
      <c r="F24" s="107">
        <f>SUM(F25:F31)</f>
        <v>22</v>
      </c>
      <c r="G24" s="107">
        <f>SUM(G25:G31)</f>
        <v>0</v>
      </c>
      <c r="H24" s="107">
        <f aca="true" t="shared" si="9" ref="H24:H31">SUM(I24,Q24)</f>
        <v>1200</v>
      </c>
      <c r="I24" s="107">
        <f aca="true" t="shared" si="10" ref="I24:I31">SUM(J24:P24)</f>
        <v>1035</v>
      </c>
      <c r="J24" s="107">
        <f aca="true" t="shared" si="11" ref="J24:Q24">SUM(J25:J31)</f>
        <v>273</v>
      </c>
      <c r="K24" s="107">
        <f t="shared" si="11"/>
        <v>2</v>
      </c>
      <c r="L24" s="107">
        <f t="shared" si="11"/>
        <v>627</v>
      </c>
      <c r="M24" s="107">
        <f t="shared" si="11"/>
        <v>30</v>
      </c>
      <c r="N24" s="107">
        <f t="shared" si="11"/>
        <v>0</v>
      </c>
      <c r="O24" s="107">
        <f t="shared" si="11"/>
        <v>0</v>
      </c>
      <c r="P24" s="107">
        <f t="shared" si="11"/>
        <v>103</v>
      </c>
      <c r="Q24" s="107">
        <f t="shared" si="11"/>
        <v>165</v>
      </c>
      <c r="R24" s="261">
        <f aca="true" t="shared" si="12" ref="R24:R31">SUM(L24:Q24)</f>
        <v>925</v>
      </c>
      <c r="S24" s="108">
        <f aca="true" t="shared" si="13" ref="S24:S31">(((J24+K24))/I24)*100</f>
        <v>26.570048309178745</v>
      </c>
      <c r="T24" s="47"/>
      <c r="U24" s="67"/>
      <c r="V24" s="66"/>
      <c r="W24" s="47"/>
      <c r="X24" s="65"/>
      <c r="Y24" s="64"/>
      <c r="Z24" s="64"/>
      <c r="AA24" s="64"/>
      <c r="AB24" s="64"/>
      <c r="AC24" s="64"/>
      <c r="AD24" s="64"/>
      <c r="AE24" s="64"/>
      <c r="AF24" s="64"/>
      <c r="AG24" s="64"/>
      <c r="AH24" s="64"/>
      <c r="AI24" s="64"/>
      <c r="AJ24" s="64"/>
      <c r="AK24" s="64"/>
      <c r="AL24" s="64"/>
      <c r="AM24" s="72"/>
      <c r="AN24" s="71"/>
      <c r="AO24" s="60"/>
      <c r="AP24" s="60"/>
      <c r="AQ24" s="60"/>
      <c r="AR24" s="60"/>
      <c r="AS24" s="60"/>
      <c r="AT24" s="60"/>
      <c r="AU24" s="60"/>
      <c r="AV24" s="60"/>
      <c r="AW24" s="60"/>
      <c r="AX24" s="60"/>
      <c r="AY24" s="60"/>
      <c r="AZ24" s="60"/>
      <c r="BA24" s="60"/>
      <c r="BB24" s="60"/>
      <c r="BC24" s="60"/>
      <c r="BD24" s="60"/>
      <c r="BE24" s="56"/>
      <c r="BF24" s="55"/>
      <c r="BG24" s="73"/>
      <c r="BH24" s="53"/>
      <c r="BI24" s="5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c r="EZ24" s="32"/>
      <c r="FA24" s="32"/>
      <c r="FB24" s="32"/>
      <c r="FC24" s="32"/>
      <c r="FD24" s="32"/>
      <c r="FE24" s="32"/>
      <c r="FF24" s="32"/>
      <c r="FG24" s="32"/>
      <c r="FH24" s="32"/>
      <c r="FI24" s="32"/>
      <c r="FJ24" s="32"/>
      <c r="FK24" s="32"/>
      <c r="FL24" s="32"/>
      <c r="FM24" s="32"/>
      <c r="FN24" s="32"/>
      <c r="FO24" s="32"/>
      <c r="FP24" s="32"/>
      <c r="FQ24" s="32"/>
      <c r="FR24" s="32"/>
      <c r="FS24" s="32"/>
      <c r="FT24" s="32"/>
      <c r="FU24" s="32"/>
      <c r="FV24" s="32"/>
      <c r="FW24" s="32"/>
      <c r="FX24" s="32"/>
      <c r="FY24" s="32"/>
      <c r="FZ24" s="32"/>
      <c r="GA24" s="32"/>
      <c r="GB24" s="51"/>
    </row>
    <row r="25" spans="1:184" s="31" customFormat="1" ht="19.5" customHeight="1">
      <c r="A25" s="74" t="s">
        <v>28</v>
      </c>
      <c r="B25" s="74" t="s">
        <v>177</v>
      </c>
      <c r="C25" s="107">
        <f t="shared" si="8"/>
        <v>81</v>
      </c>
      <c r="D25" s="107">
        <v>7</v>
      </c>
      <c r="E25" s="107">
        <v>74</v>
      </c>
      <c r="F25" s="107">
        <v>2</v>
      </c>
      <c r="G25" s="107">
        <v>0</v>
      </c>
      <c r="H25" s="107">
        <f t="shared" si="9"/>
        <v>79</v>
      </c>
      <c r="I25" s="107">
        <f t="shared" si="10"/>
        <v>72</v>
      </c>
      <c r="J25" s="107">
        <v>39</v>
      </c>
      <c r="K25" s="107">
        <v>0</v>
      </c>
      <c r="L25" s="107">
        <v>33</v>
      </c>
      <c r="M25" s="107">
        <v>0</v>
      </c>
      <c r="N25" s="107">
        <v>0</v>
      </c>
      <c r="O25" s="107">
        <v>0</v>
      </c>
      <c r="P25" s="109">
        <v>0</v>
      </c>
      <c r="Q25" s="261">
        <v>7</v>
      </c>
      <c r="R25" s="261">
        <f t="shared" si="12"/>
        <v>40</v>
      </c>
      <c r="S25" s="108">
        <f t="shared" si="13"/>
        <v>54.166666666666664</v>
      </c>
      <c r="T25" s="47"/>
      <c r="U25" s="67"/>
      <c r="V25" s="66"/>
      <c r="W25" s="47"/>
      <c r="X25" s="65"/>
      <c r="Y25" s="64"/>
      <c r="Z25" s="64"/>
      <c r="AA25" s="64"/>
      <c r="AB25" s="64"/>
      <c r="AC25" s="64"/>
      <c r="AD25" s="64"/>
      <c r="AE25" s="64"/>
      <c r="AF25" s="64"/>
      <c r="AG25" s="64"/>
      <c r="AH25" s="64"/>
      <c r="AI25" s="64"/>
      <c r="AJ25" s="64"/>
      <c r="AK25" s="64"/>
      <c r="AL25" s="64"/>
      <c r="AM25" s="63"/>
      <c r="AN25" s="62"/>
      <c r="AO25" s="60"/>
      <c r="AP25" s="59"/>
      <c r="AQ25" s="59"/>
      <c r="AR25" s="59"/>
      <c r="AS25" s="59"/>
      <c r="AT25" s="60"/>
      <c r="AU25" s="60"/>
      <c r="AV25" s="59"/>
      <c r="AW25" s="59"/>
      <c r="AX25" s="59"/>
      <c r="AY25" s="59"/>
      <c r="AZ25" s="59"/>
      <c r="BA25" s="59"/>
      <c r="BB25" s="59"/>
      <c r="BC25" s="69"/>
      <c r="BD25" s="68"/>
      <c r="BE25" s="56"/>
      <c r="BF25" s="55"/>
      <c r="BG25" s="73"/>
      <c r="BH25" s="53"/>
      <c r="BI25" s="5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c r="EZ25" s="32"/>
      <c r="FA25" s="32"/>
      <c r="FB25" s="32"/>
      <c r="FC25" s="32"/>
      <c r="FD25" s="32"/>
      <c r="FE25" s="32"/>
      <c r="FF25" s="32"/>
      <c r="FG25" s="32"/>
      <c r="FH25" s="32"/>
      <c r="FI25" s="32"/>
      <c r="FJ25" s="32"/>
      <c r="FK25" s="32"/>
      <c r="FL25" s="32"/>
      <c r="FM25" s="32"/>
      <c r="FN25" s="32"/>
      <c r="FO25" s="32"/>
      <c r="FP25" s="32"/>
      <c r="FQ25" s="32"/>
      <c r="FR25" s="32"/>
      <c r="FS25" s="32"/>
      <c r="FT25" s="32"/>
      <c r="FU25" s="32"/>
      <c r="FV25" s="32"/>
      <c r="FW25" s="32"/>
      <c r="FX25" s="32"/>
      <c r="FY25" s="32"/>
      <c r="FZ25" s="32"/>
      <c r="GA25" s="32"/>
      <c r="GB25" s="51"/>
    </row>
    <row r="26" spans="1:184" s="31" customFormat="1" ht="19.5" customHeight="1">
      <c r="A26" s="74" t="s">
        <v>29</v>
      </c>
      <c r="B26" s="74" t="s">
        <v>176</v>
      </c>
      <c r="C26" s="107">
        <f t="shared" si="8"/>
        <v>246</v>
      </c>
      <c r="D26" s="107">
        <v>177</v>
      </c>
      <c r="E26" s="107">
        <v>69</v>
      </c>
      <c r="F26" s="107">
        <v>3</v>
      </c>
      <c r="G26" s="107">
        <v>0</v>
      </c>
      <c r="H26" s="107">
        <f t="shared" si="9"/>
        <v>243</v>
      </c>
      <c r="I26" s="107">
        <f t="shared" si="10"/>
        <v>202</v>
      </c>
      <c r="J26" s="107">
        <v>41</v>
      </c>
      <c r="K26" s="107">
        <v>0</v>
      </c>
      <c r="L26" s="107">
        <v>113</v>
      </c>
      <c r="M26" s="107">
        <v>1</v>
      </c>
      <c r="N26" s="107">
        <v>0</v>
      </c>
      <c r="O26" s="107">
        <v>0</v>
      </c>
      <c r="P26" s="109">
        <v>47</v>
      </c>
      <c r="Q26" s="261">
        <v>41</v>
      </c>
      <c r="R26" s="261">
        <f t="shared" si="12"/>
        <v>202</v>
      </c>
      <c r="S26" s="108">
        <f t="shared" si="13"/>
        <v>20.2970297029703</v>
      </c>
      <c r="T26" s="47"/>
      <c r="U26" s="67"/>
      <c r="V26" s="66"/>
      <c r="W26" s="47"/>
      <c r="X26" s="65"/>
      <c r="Y26" s="64"/>
      <c r="Z26" s="64"/>
      <c r="AA26" s="64"/>
      <c r="AB26" s="64"/>
      <c r="AC26" s="64"/>
      <c r="AD26" s="64"/>
      <c r="AE26" s="64"/>
      <c r="AF26" s="64"/>
      <c r="AG26" s="64"/>
      <c r="AH26" s="64"/>
      <c r="AI26" s="64"/>
      <c r="AJ26" s="64"/>
      <c r="AK26" s="64"/>
      <c r="AL26" s="64"/>
      <c r="AM26" s="63"/>
      <c r="AN26" s="62"/>
      <c r="AO26" s="60"/>
      <c r="AP26" s="59"/>
      <c r="AQ26" s="59"/>
      <c r="AR26" s="59"/>
      <c r="AS26" s="59"/>
      <c r="AT26" s="60"/>
      <c r="AU26" s="60"/>
      <c r="AV26" s="59"/>
      <c r="AW26" s="59"/>
      <c r="AX26" s="59"/>
      <c r="AY26" s="59"/>
      <c r="AZ26" s="59"/>
      <c r="BA26" s="59"/>
      <c r="BB26" s="59"/>
      <c r="BC26" s="69"/>
      <c r="BD26" s="68"/>
      <c r="BE26" s="56"/>
      <c r="BF26" s="55"/>
      <c r="BG26" s="73"/>
      <c r="BH26" s="53"/>
      <c r="BI26" s="5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32"/>
      <c r="EB26" s="32"/>
      <c r="EC26" s="32"/>
      <c r="ED26" s="32"/>
      <c r="EE26" s="32"/>
      <c r="EF26" s="32"/>
      <c r="EG26" s="32"/>
      <c r="EH26" s="32"/>
      <c r="EI26" s="32"/>
      <c r="EJ26" s="32"/>
      <c r="EK26" s="32"/>
      <c r="EL26" s="32"/>
      <c r="EM26" s="32"/>
      <c r="EN26" s="32"/>
      <c r="EO26" s="32"/>
      <c r="EP26" s="32"/>
      <c r="EQ26" s="32"/>
      <c r="ER26" s="32"/>
      <c r="ES26" s="32"/>
      <c r="ET26" s="32"/>
      <c r="EU26" s="32"/>
      <c r="EV26" s="32"/>
      <c r="EW26" s="32"/>
      <c r="EX26" s="32"/>
      <c r="EY26" s="32"/>
      <c r="EZ26" s="32"/>
      <c r="FA26" s="32"/>
      <c r="FB26" s="32"/>
      <c r="FC26" s="32"/>
      <c r="FD26" s="32"/>
      <c r="FE26" s="32"/>
      <c r="FF26" s="32"/>
      <c r="FG26" s="32"/>
      <c r="FH26" s="32"/>
      <c r="FI26" s="32"/>
      <c r="FJ26" s="32"/>
      <c r="FK26" s="32"/>
      <c r="FL26" s="32"/>
      <c r="FM26" s="32"/>
      <c r="FN26" s="32"/>
      <c r="FO26" s="32"/>
      <c r="FP26" s="32"/>
      <c r="FQ26" s="32"/>
      <c r="FR26" s="32"/>
      <c r="FS26" s="32"/>
      <c r="FT26" s="32"/>
      <c r="FU26" s="32"/>
      <c r="FV26" s="32"/>
      <c r="FW26" s="32"/>
      <c r="FX26" s="32"/>
      <c r="FY26" s="32"/>
      <c r="FZ26" s="32"/>
      <c r="GA26" s="32"/>
      <c r="GB26" s="51"/>
    </row>
    <row r="27" spans="1:184" s="31" customFormat="1" ht="19.5" customHeight="1">
      <c r="A27" s="74" t="s">
        <v>64</v>
      </c>
      <c r="B27" s="74" t="s">
        <v>175</v>
      </c>
      <c r="C27" s="107">
        <f t="shared" si="8"/>
        <v>147</v>
      </c>
      <c r="D27" s="107">
        <v>107</v>
      </c>
      <c r="E27" s="107">
        <v>40</v>
      </c>
      <c r="F27" s="107">
        <v>0</v>
      </c>
      <c r="G27" s="107">
        <v>0</v>
      </c>
      <c r="H27" s="107">
        <f t="shared" si="9"/>
        <v>147</v>
      </c>
      <c r="I27" s="107">
        <f t="shared" si="10"/>
        <v>126</v>
      </c>
      <c r="J27" s="107">
        <v>42</v>
      </c>
      <c r="K27" s="107">
        <v>0</v>
      </c>
      <c r="L27" s="107">
        <v>51</v>
      </c>
      <c r="M27" s="107">
        <v>9</v>
      </c>
      <c r="N27" s="107">
        <v>0</v>
      </c>
      <c r="O27" s="107">
        <v>0</v>
      </c>
      <c r="P27" s="109">
        <v>24</v>
      </c>
      <c r="Q27" s="261">
        <v>21</v>
      </c>
      <c r="R27" s="261">
        <f t="shared" si="12"/>
        <v>105</v>
      </c>
      <c r="S27" s="108">
        <f t="shared" si="13"/>
        <v>33.33333333333333</v>
      </c>
      <c r="T27" s="47"/>
      <c r="U27" s="67"/>
      <c r="V27" s="66"/>
      <c r="W27" s="47"/>
      <c r="X27" s="65"/>
      <c r="Y27" s="64"/>
      <c r="Z27" s="64"/>
      <c r="AA27" s="64"/>
      <c r="AB27" s="64"/>
      <c r="AC27" s="64"/>
      <c r="AD27" s="64"/>
      <c r="AE27" s="64"/>
      <c r="AF27" s="64"/>
      <c r="AG27" s="64"/>
      <c r="AH27" s="64"/>
      <c r="AI27" s="64"/>
      <c r="AJ27" s="64"/>
      <c r="AK27" s="64"/>
      <c r="AL27" s="64"/>
      <c r="AM27" s="63"/>
      <c r="AN27" s="62"/>
      <c r="AO27" s="60"/>
      <c r="AP27" s="59"/>
      <c r="AQ27" s="59"/>
      <c r="AR27" s="59"/>
      <c r="AS27" s="59"/>
      <c r="AT27" s="60"/>
      <c r="AU27" s="60"/>
      <c r="AV27" s="59"/>
      <c r="AW27" s="59"/>
      <c r="AX27" s="59"/>
      <c r="AY27" s="59"/>
      <c r="AZ27" s="59"/>
      <c r="BA27" s="59"/>
      <c r="BB27" s="59"/>
      <c r="BC27" s="69"/>
      <c r="BD27" s="68"/>
      <c r="BE27" s="56"/>
      <c r="BF27" s="55"/>
      <c r="BG27" s="73"/>
      <c r="BH27" s="53"/>
      <c r="BI27" s="5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c r="EB27" s="32"/>
      <c r="EC27" s="32"/>
      <c r="ED27" s="32"/>
      <c r="EE27" s="32"/>
      <c r="EF27" s="32"/>
      <c r="EG27" s="32"/>
      <c r="EH27" s="32"/>
      <c r="EI27" s="32"/>
      <c r="EJ27" s="32"/>
      <c r="EK27" s="32"/>
      <c r="EL27" s="32"/>
      <c r="EM27" s="32"/>
      <c r="EN27" s="32"/>
      <c r="EO27" s="32"/>
      <c r="EP27" s="32"/>
      <c r="EQ27" s="32"/>
      <c r="ER27" s="32"/>
      <c r="ES27" s="32"/>
      <c r="ET27" s="32"/>
      <c r="EU27" s="32"/>
      <c r="EV27" s="32"/>
      <c r="EW27" s="32"/>
      <c r="EX27" s="32"/>
      <c r="EY27" s="32"/>
      <c r="EZ27" s="32"/>
      <c r="FA27" s="32"/>
      <c r="FB27" s="32"/>
      <c r="FC27" s="32"/>
      <c r="FD27" s="32"/>
      <c r="FE27" s="32"/>
      <c r="FF27" s="32"/>
      <c r="FG27" s="32"/>
      <c r="FH27" s="32"/>
      <c r="FI27" s="32"/>
      <c r="FJ27" s="32"/>
      <c r="FK27" s="32"/>
      <c r="FL27" s="32"/>
      <c r="FM27" s="32"/>
      <c r="FN27" s="32"/>
      <c r="FO27" s="32"/>
      <c r="FP27" s="32"/>
      <c r="FQ27" s="32"/>
      <c r="FR27" s="32"/>
      <c r="FS27" s="32"/>
      <c r="FT27" s="32"/>
      <c r="FU27" s="32"/>
      <c r="FV27" s="32"/>
      <c r="FW27" s="32"/>
      <c r="FX27" s="32"/>
      <c r="FY27" s="32"/>
      <c r="FZ27" s="32"/>
      <c r="GA27" s="32"/>
      <c r="GB27" s="51"/>
    </row>
    <row r="28" spans="1:184" s="31" customFormat="1" ht="19.5" customHeight="1">
      <c r="A28" s="74" t="s">
        <v>66</v>
      </c>
      <c r="B28" s="74" t="s">
        <v>174</v>
      </c>
      <c r="C28" s="107">
        <f t="shared" si="8"/>
        <v>219</v>
      </c>
      <c r="D28" s="107">
        <v>131</v>
      </c>
      <c r="E28" s="107">
        <v>88</v>
      </c>
      <c r="F28" s="107">
        <v>0</v>
      </c>
      <c r="G28" s="107">
        <v>0</v>
      </c>
      <c r="H28" s="107">
        <f t="shared" si="9"/>
        <v>219</v>
      </c>
      <c r="I28" s="107">
        <f t="shared" si="10"/>
        <v>183</v>
      </c>
      <c r="J28" s="107">
        <v>47</v>
      </c>
      <c r="K28" s="107">
        <v>2</v>
      </c>
      <c r="L28" s="107">
        <v>106</v>
      </c>
      <c r="M28" s="107">
        <v>1</v>
      </c>
      <c r="N28" s="107">
        <v>0</v>
      </c>
      <c r="O28" s="107">
        <v>0</v>
      </c>
      <c r="P28" s="109">
        <v>27</v>
      </c>
      <c r="Q28" s="261">
        <v>36</v>
      </c>
      <c r="R28" s="261">
        <f t="shared" si="12"/>
        <v>170</v>
      </c>
      <c r="S28" s="108">
        <f t="shared" si="13"/>
        <v>26.775956284153008</v>
      </c>
      <c r="T28" s="47"/>
      <c r="U28" s="67"/>
      <c r="V28" s="66"/>
      <c r="W28" s="47"/>
      <c r="X28" s="65"/>
      <c r="Y28" s="64"/>
      <c r="Z28" s="64"/>
      <c r="AA28" s="64"/>
      <c r="AB28" s="64"/>
      <c r="AC28" s="64"/>
      <c r="AD28" s="64"/>
      <c r="AE28" s="64"/>
      <c r="AF28" s="64"/>
      <c r="AG28" s="64"/>
      <c r="AH28" s="64"/>
      <c r="AI28" s="64"/>
      <c r="AJ28" s="64"/>
      <c r="AK28" s="64"/>
      <c r="AL28" s="64"/>
      <c r="AM28" s="63"/>
      <c r="AN28" s="62"/>
      <c r="AO28" s="60"/>
      <c r="AP28" s="59"/>
      <c r="AQ28" s="59"/>
      <c r="AR28" s="59"/>
      <c r="AS28" s="59"/>
      <c r="AT28" s="60"/>
      <c r="AU28" s="60"/>
      <c r="AV28" s="59"/>
      <c r="AW28" s="59"/>
      <c r="AX28" s="59"/>
      <c r="AY28" s="59"/>
      <c r="AZ28" s="59"/>
      <c r="BA28" s="59"/>
      <c r="BB28" s="59"/>
      <c r="BC28" s="69"/>
      <c r="BD28" s="68"/>
      <c r="BE28" s="56"/>
      <c r="BF28" s="55"/>
      <c r="BG28" s="73"/>
      <c r="BH28" s="53"/>
      <c r="BI28" s="5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c r="EO28" s="32"/>
      <c r="EP28" s="32"/>
      <c r="EQ28" s="32"/>
      <c r="ER28" s="32"/>
      <c r="ES28" s="32"/>
      <c r="ET28" s="32"/>
      <c r="EU28" s="32"/>
      <c r="EV28" s="32"/>
      <c r="EW28" s="32"/>
      <c r="EX28" s="32"/>
      <c r="EY28" s="32"/>
      <c r="EZ28" s="32"/>
      <c r="FA28" s="32"/>
      <c r="FB28" s="32"/>
      <c r="FC28" s="32"/>
      <c r="FD28" s="32"/>
      <c r="FE28" s="32"/>
      <c r="FF28" s="32"/>
      <c r="FG28" s="32"/>
      <c r="FH28" s="32"/>
      <c r="FI28" s="32"/>
      <c r="FJ28" s="32"/>
      <c r="FK28" s="32"/>
      <c r="FL28" s="32"/>
      <c r="FM28" s="32"/>
      <c r="FN28" s="32"/>
      <c r="FO28" s="32"/>
      <c r="FP28" s="32"/>
      <c r="FQ28" s="32"/>
      <c r="FR28" s="32"/>
      <c r="FS28" s="32"/>
      <c r="FT28" s="32"/>
      <c r="FU28" s="32"/>
      <c r="FV28" s="32"/>
      <c r="FW28" s="32"/>
      <c r="FX28" s="32"/>
      <c r="FY28" s="32"/>
      <c r="FZ28" s="32"/>
      <c r="GA28" s="32"/>
      <c r="GB28" s="51"/>
    </row>
    <row r="29" spans="1:184" s="31" customFormat="1" ht="19.5" customHeight="1">
      <c r="A29" s="74" t="s">
        <v>67</v>
      </c>
      <c r="B29" s="74" t="s">
        <v>173</v>
      </c>
      <c r="C29" s="107">
        <f t="shared" si="8"/>
        <v>176</v>
      </c>
      <c r="D29" s="107">
        <v>118</v>
      </c>
      <c r="E29" s="107">
        <v>58</v>
      </c>
      <c r="F29" s="107">
        <v>1</v>
      </c>
      <c r="G29" s="107">
        <v>0</v>
      </c>
      <c r="H29" s="107">
        <f t="shared" si="9"/>
        <v>175</v>
      </c>
      <c r="I29" s="107">
        <f t="shared" si="10"/>
        <v>140</v>
      </c>
      <c r="J29" s="107">
        <v>34</v>
      </c>
      <c r="K29" s="107">
        <v>0</v>
      </c>
      <c r="L29" s="107">
        <v>89</v>
      </c>
      <c r="M29" s="107">
        <v>15</v>
      </c>
      <c r="N29" s="107">
        <v>0</v>
      </c>
      <c r="O29" s="107">
        <v>0</v>
      </c>
      <c r="P29" s="109">
        <v>2</v>
      </c>
      <c r="Q29" s="261">
        <v>35</v>
      </c>
      <c r="R29" s="261">
        <f t="shared" si="12"/>
        <v>141</v>
      </c>
      <c r="S29" s="108">
        <f t="shared" si="13"/>
        <v>24.285714285714285</v>
      </c>
      <c r="T29" s="47"/>
      <c r="U29" s="67"/>
      <c r="V29" s="66"/>
      <c r="W29" s="47"/>
      <c r="X29" s="65"/>
      <c r="Y29" s="64"/>
      <c r="Z29" s="64"/>
      <c r="AA29" s="64"/>
      <c r="AB29" s="64"/>
      <c r="AC29" s="64"/>
      <c r="AD29" s="64"/>
      <c r="AE29" s="64"/>
      <c r="AF29" s="64"/>
      <c r="AG29" s="64"/>
      <c r="AH29" s="64"/>
      <c r="AI29" s="64"/>
      <c r="AJ29" s="64"/>
      <c r="AK29" s="64"/>
      <c r="AL29" s="64"/>
      <c r="AM29" s="63"/>
      <c r="AN29" s="62"/>
      <c r="AO29" s="60"/>
      <c r="AP29" s="59"/>
      <c r="AQ29" s="59"/>
      <c r="AR29" s="59"/>
      <c r="AS29" s="59"/>
      <c r="AT29" s="60"/>
      <c r="AU29" s="60"/>
      <c r="AV29" s="59"/>
      <c r="AW29" s="59"/>
      <c r="AX29" s="59"/>
      <c r="AY29" s="59"/>
      <c r="AZ29" s="59"/>
      <c r="BA29" s="59"/>
      <c r="BB29" s="59"/>
      <c r="BC29" s="69"/>
      <c r="BD29" s="68"/>
      <c r="BE29" s="56"/>
      <c r="BF29" s="55"/>
      <c r="BG29" s="73"/>
      <c r="BH29" s="53"/>
      <c r="BI29" s="5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c r="EO29" s="32"/>
      <c r="EP29" s="32"/>
      <c r="EQ29" s="32"/>
      <c r="ER29" s="32"/>
      <c r="ES29" s="32"/>
      <c r="ET29" s="32"/>
      <c r="EU29" s="32"/>
      <c r="EV29" s="32"/>
      <c r="EW29" s="32"/>
      <c r="EX29" s="32"/>
      <c r="EY29" s="32"/>
      <c r="EZ29" s="32"/>
      <c r="FA29" s="32"/>
      <c r="FB29" s="32"/>
      <c r="FC29" s="32"/>
      <c r="FD29" s="32"/>
      <c r="FE29" s="32"/>
      <c r="FF29" s="32"/>
      <c r="FG29" s="32"/>
      <c r="FH29" s="32"/>
      <c r="FI29" s="32"/>
      <c r="FJ29" s="32"/>
      <c r="FK29" s="32"/>
      <c r="FL29" s="32"/>
      <c r="FM29" s="32"/>
      <c r="FN29" s="32"/>
      <c r="FO29" s="32"/>
      <c r="FP29" s="32"/>
      <c r="FQ29" s="32"/>
      <c r="FR29" s="32"/>
      <c r="FS29" s="32"/>
      <c r="FT29" s="32"/>
      <c r="FU29" s="32"/>
      <c r="FV29" s="32"/>
      <c r="FW29" s="32"/>
      <c r="FX29" s="32"/>
      <c r="FY29" s="32"/>
      <c r="FZ29" s="32"/>
      <c r="GA29" s="32"/>
      <c r="GB29" s="51"/>
    </row>
    <row r="30" spans="1:184" s="31" customFormat="1" ht="19.5" customHeight="1">
      <c r="A30" s="74" t="s">
        <v>69</v>
      </c>
      <c r="B30" s="74" t="s">
        <v>172</v>
      </c>
      <c r="C30" s="107">
        <f t="shared" si="8"/>
        <v>223</v>
      </c>
      <c r="D30" s="107">
        <v>131</v>
      </c>
      <c r="E30" s="110">
        <v>92</v>
      </c>
      <c r="F30" s="110">
        <v>2</v>
      </c>
      <c r="G30" s="107">
        <v>0</v>
      </c>
      <c r="H30" s="107">
        <f t="shared" si="9"/>
        <v>221</v>
      </c>
      <c r="I30" s="107">
        <f t="shared" si="10"/>
        <v>206</v>
      </c>
      <c r="J30" s="110">
        <v>50</v>
      </c>
      <c r="K30" s="107">
        <v>0</v>
      </c>
      <c r="L30" s="110">
        <v>156</v>
      </c>
      <c r="M30" s="110">
        <v>0</v>
      </c>
      <c r="N30" s="107">
        <v>0</v>
      </c>
      <c r="O30" s="107">
        <v>0</v>
      </c>
      <c r="P30" s="111">
        <v>0</v>
      </c>
      <c r="Q30" s="97">
        <v>15</v>
      </c>
      <c r="R30" s="261">
        <f t="shared" si="12"/>
        <v>171</v>
      </c>
      <c r="S30" s="108">
        <f t="shared" si="13"/>
        <v>24.271844660194176</v>
      </c>
      <c r="T30" s="47"/>
      <c r="U30" s="67"/>
      <c r="V30" s="66"/>
      <c r="W30" s="47"/>
      <c r="X30" s="65"/>
      <c r="Y30" s="64"/>
      <c r="Z30" s="64"/>
      <c r="AA30" s="64"/>
      <c r="AB30" s="64"/>
      <c r="AC30" s="64"/>
      <c r="AD30" s="64"/>
      <c r="AE30" s="64"/>
      <c r="AF30" s="64"/>
      <c r="AG30" s="64"/>
      <c r="AH30" s="64"/>
      <c r="AI30" s="64"/>
      <c r="AJ30" s="64"/>
      <c r="AK30" s="64"/>
      <c r="AL30" s="64"/>
      <c r="AM30" s="63"/>
      <c r="AN30" s="62"/>
      <c r="AO30" s="60"/>
      <c r="AP30" s="59"/>
      <c r="AQ30" s="59"/>
      <c r="AR30" s="59"/>
      <c r="AS30" s="59"/>
      <c r="AT30" s="60"/>
      <c r="AU30" s="60"/>
      <c r="AV30" s="59"/>
      <c r="AW30" s="59"/>
      <c r="AX30" s="59"/>
      <c r="AY30" s="59"/>
      <c r="AZ30" s="59"/>
      <c r="BA30" s="59"/>
      <c r="BB30" s="59"/>
      <c r="BC30" s="69"/>
      <c r="BD30" s="68"/>
      <c r="BE30" s="56"/>
      <c r="BF30" s="55"/>
      <c r="BG30" s="73"/>
      <c r="BH30" s="53"/>
      <c r="BI30" s="5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c r="EO30" s="32"/>
      <c r="EP30" s="32"/>
      <c r="EQ30" s="32"/>
      <c r="ER30" s="32"/>
      <c r="ES30" s="32"/>
      <c r="ET30" s="32"/>
      <c r="EU30" s="32"/>
      <c r="EV30" s="32"/>
      <c r="EW30" s="32"/>
      <c r="EX30" s="32"/>
      <c r="EY30" s="32"/>
      <c r="EZ30" s="32"/>
      <c r="FA30" s="32"/>
      <c r="FB30" s="32"/>
      <c r="FC30" s="32"/>
      <c r="FD30" s="32"/>
      <c r="FE30" s="32"/>
      <c r="FF30" s="32"/>
      <c r="FG30" s="32"/>
      <c r="FH30" s="32"/>
      <c r="FI30" s="32"/>
      <c r="FJ30" s="32"/>
      <c r="FK30" s="32"/>
      <c r="FL30" s="32"/>
      <c r="FM30" s="32"/>
      <c r="FN30" s="32"/>
      <c r="FO30" s="32"/>
      <c r="FP30" s="32"/>
      <c r="FQ30" s="32"/>
      <c r="FR30" s="32"/>
      <c r="FS30" s="32"/>
      <c r="FT30" s="32"/>
      <c r="FU30" s="32"/>
      <c r="FV30" s="32"/>
      <c r="FW30" s="32"/>
      <c r="FX30" s="32"/>
      <c r="FY30" s="32"/>
      <c r="FZ30" s="32"/>
      <c r="GA30" s="32"/>
      <c r="GB30" s="51"/>
    </row>
    <row r="31" spans="1:184" s="31" customFormat="1" ht="19.5" customHeight="1">
      <c r="A31" s="74" t="s">
        <v>70</v>
      </c>
      <c r="B31" s="74" t="s">
        <v>171</v>
      </c>
      <c r="C31" s="107">
        <f t="shared" si="8"/>
        <v>130</v>
      </c>
      <c r="D31" s="107">
        <v>89</v>
      </c>
      <c r="E31" s="107">
        <v>41</v>
      </c>
      <c r="F31" s="107">
        <v>14</v>
      </c>
      <c r="G31" s="107">
        <v>0</v>
      </c>
      <c r="H31" s="107">
        <f t="shared" si="9"/>
        <v>116</v>
      </c>
      <c r="I31" s="107">
        <f t="shared" si="10"/>
        <v>106</v>
      </c>
      <c r="J31" s="107">
        <v>20</v>
      </c>
      <c r="K31" s="107">
        <v>0</v>
      </c>
      <c r="L31" s="107">
        <v>79</v>
      </c>
      <c r="M31" s="107">
        <v>4</v>
      </c>
      <c r="N31" s="107">
        <v>0</v>
      </c>
      <c r="O31" s="107">
        <v>0</v>
      </c>
      <c r="P31" s="109">
        <v>3</v>
      </c>
      <c r="Q31" s="261">
        <v>10</v>
      </c>
      <c r="R31" s="261">
        <f t="shared" si="12"/>
        <v>96</v>
      </c>
      <c r="S31" s="108">
        <f t="shared" si="13"/>
        <v>18.867924528301888</v>
      </c>
      <c r="T31" s="47"/>
      <c r="U31" s="67"/>
      <c r="V31" s="66"/>
      <c r="W31" s="47"/>
      <c r="X31" s="65"/>
      <c r="Y31" s="64"/>
      <c r="Z31" s="64"/>
      <c r="AA31" s="64"/>
      <c r="AB31" s="64"/>
      <c r="AC31" s="64"/>
      <c r="AD31" s="64"/>
      <c r="AE31" s="64"/>
      <c r="AF31" s="64"/>
      <c r="AG31" s="64"/>
      <c r="AH31" s="64"/>
      <c r="AI31" s="64"/>
      <c r="AJ31" s="64"/>
      <c r="AK31" s="64"/>
      <c r="AL31" s="64"/>
      <c r="AM31" s="63"/>
      <c r="AN31" s="62"/>
      <c r="AO31" s="60"/>
      <c r="AP31" s="59"/>
      <c r="AQ31" s="59"/>
      <c r="AR31" s="59"/>
      <c r="AS31" s="59"/>
      <c r="AT31" s="60"/>
      <c r="AU31" s="60"/>
      <c r="AV31" s="59"/>
      <c r="AW31" s="59"/>
      <c r="AX31" s="59"/>
      <c r="AY31" s="59"/>
      <c r="AZ31" s="59"/>
      <c r="BA31" s="59"/>
      <c r="BB31" s="59"/>
      <c r="BC31" s="69"/>
      <c r="BD31" s="68"/>
      <c r="BE31" s="56"/>
      <c r="BF31" s="55"/>
      <c r="BG31" s="73"/>
      <c r="BH31" s="53"/>
      <c r="BI31" s="5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c r="EO31" s="32"/>
      <c r="EP31" s="32"/>
      <c r="EQ31" s="32"/>
      <c r="ER31" s="32"/>
      <c r="ES31" s="32"/>
      <c r="ET31" s="32"/>
      <c r="EU31" s="32"/>
      <c r="EV31" s="32"/>
      <c r="EW31" s="32"/>
      <c r="EX31" s="32"/>
      <c r="EY31" s="32"/>
      <c r="EZ31" s="32"/>
      <c r="FA31" s="32"/>
      <c r="FB31" s="32"/>
      <c r="FC31" s="32"/>
      <c r="FD31" s="32"/>
      <c r="FE31" s="32"/>
      <c r="FF31" s="32"/>
      <c r="FG31" s="32"/>
      <c r="FH31" s="32"/>
      <c r="FI31" s="32"/>
      <c r="FJ31" s="32"/>
      <c r="FK31" s="32"/>
      <c r="FL31" s="32"/>
      <c r="FM31" s="32"/>
      <c r="FN31" s="32"/>
      <c r="FO31" s="32"/>
      <c r="FP31" s="32"/>
      <c r="FQ31" s="32"/>
      <c r="FR31" s="32"/>
      <c r="FS31" s="32"/>
      <c r="FT31" s="32"/>
      <c r="FU31" s="32"/>
      <c r="FV31" s="32"/>
      <c r="FW31" s="32"/>
      <c r="FX31" s="32"/>
      <c r="FY31" s="32"/>
      <c r="FZ31" s="32"/>
      <c r="GA31" s="32"/>
      <c r="GB31" s="51"/>
    </row>
    <row r="32" spans="1:184" s="31" customFormat="1" ht="19.5" customHeight="1">
      <c r="A32" s="254" t="s">
        <v>27</v>
      </c>
      <c r="B32" s="254" t="s">
        <v>170</v>
      </c>
      <c r="C32" s="107">
        <f>C33+C34+C35+C36+C37</f>
        <v>770</v>
      </c>
      <c r="D32" s="107">
        <f>D33+D34+D35+D36+D37</f>
        <v>491</v>
      </c>
      <c r="E32" s="107">
        <f>E33+E34+E35+E36+E37</f>
        <v>279</v>
      </c>
      <c r="F32" s="107">
        <f>F33+F34+F35+F36+F37</f>
        <v>4</v>
      </c>
      <c r="G32" s="107">
        <f>G33+G34+G35+G36+G37</f>
        <v>0</v>
      </c>
      <c r="H32" s="107">
        <f aca="true" t="shared" si="14" ref="H32:H37">I32+Q32</f>
        <v>766</v>
      </c>
      <c r="I32" s="107">
        <f aca="true" t="shared" si="15" ref="I32:Q32">I33+I34+I35+I36+I37</f>
        <v>722</v>
      </c>
      <c r="J32" s="107">
        <f t="shared" si="15"/>
        <v>154</v>
      </c>
      <c r="K32" s="107">
        <f t="shared" si="15"/>
        <v>3</v>
      </c>
      <c r="L32" s="107">
        <f t="shared" si="15"/>
        <v>342</v>
      </c>
      <c r="M32" s="107">
        <f t="shared" si="15"/>
        <v>91</v>
      </c>
      <c r="N32" s="107">
        <f t="shared" si="15"/>
        <v>2</v>
      </c>
      <c r="O32" s="107">
        <f t="shared" si="15"/>
        <v>0</v>
      </c>
      <c r="P32" s="107">
        <f t="shared" si="15"/>
        <v>130</v>
      </c>
      <c r="Q32" s="107">
        <f t="shared" si="15"/>
        <v>44</v>
      </c>
      <c r="R32" s="261">
        <f>SUM(L32:Q32)</f>
        <v>609</v>
      </c>
      <c r="S32" s="108">
        <f aca="true" t="shared" si="16" ref="S32:S76">(((J32+K32))/I32)*100</f>
        <v>21.74515235457064</v>
      </c>
      <c r="T32" s="47"/>
      <c r="U32" s="67"/>
      <c r="V32" s="66"/>
      <c r="W32" s="47"/>
      <c r="X32" s="65"/>
      <c r="Y32" s="64"/>
      <c r="Z32" s="64"/>
      <c r="AA32" s="64"/>
      <c r="AB32" s="64"/>
      <c r="AC32" s="64"/>
      <c r="AD32" s="64"/>
      <c r="AE32" s="64"/>
      <c r="AF32" s="64"/>
      <c r="AG32" s="64"/>
      <c r="AH32" s="64"/>
      <c r="AI32" s="64"/>
      <c r="AJ32" s="64"/>
      <c r="AK32" s="64"/>
      <c r="AL32" s="64"/>
      <c r="AM32" s="72"/>
      <c r="AN32" s="71"/>
      <c r="AO32" s="60"/>
      <c r="AP32" s="60"/>
      <c r="AQ32" s="60"/>
      <c r="AR32" s="60"/>
      <c r="AS32" s="60"/>
      <c r="AT32" s="60"/>
      <c r="AU32" s="60"/>
      <c r="AV32" s="60"/>
      <c r="AW32" s="60"/>
      <c r="AX32" s="60"/>
      <c r="AY32" s="60"/>
      <c r="AZ32" s="60"/>
      <c r="BA32" s="60"/>
      <c r="BB32" s="60"/>
      <c r="BC32" s="60"/>
      <c r="BD32" s="60"/>
      <c r="BE32" s="56"/>
      <c r="BF32" s="55"/>
      <c r="BG32" s="73"/>
      <c r="BH32" s="53"/>
      <c r="BI32" s="5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c r="EO32" s="32"/>
      <c r="EP32" s="32"/>
      <c r="EQ32" s="32"/>
      <c r="ER32" s="32"/>
      <c r="ES32" s="32"/>
      <c r="ET32" s="32"/>
      <c r="EU32" s="32"/>
      <c r="EV32" s="32"/>
      <c r="EW32" s="32"/>
      <c r="EX32" s="32"/>
      <c r="EY32" s="32"/>
      <c r="EZ32" s="32"/>
      <c r="FA32" s="32"/>
      <c r="FB32" s="32"/>
      <c r="FC32" s="32"/>
      <c r="FD32" s="32"/>
      <c r="FE32" s="32"/>
      <c r="FF32" s="32"/>
      <c r="FG32" s="32"/>
      <c r="FH32" s="32"/>
      <c r="FI32" s="32"/>
      <c r="FJ32" s="32"/>
      <c r="FK32" s="32"/>
      <c r="FL32" s="32"/>
      <c r="FM32" s="32"/>
      <c r="FN32" s="32"/>
      <c r="FO32" s="32"/>
      <c r="FP32" s="32"/>
      <c r="FQ32" s="32"/>
      <c r="FR32" s="32"/>
      <c r="FS32" s="32"/>
      <c r="FT32" s="32"/>
      <c r="FU32" s="32"/>
      <c r="FV32" s="32"/>
      <c r="FW32" s="32"/>
      <c r="FX32" s="32"/>
      <c r="FY32" s="32"/>
      <c r="FZ32" s="32"/>
      <c r="GA32" s="32"/>
      <c r="GB32" s="51"/>
    </row>
    <row r="33" spans="1:184" s="31" customFormat="1" ht="19.5" customHeight="1">
      <c r="A33" s="74" t="s">
        <v>30</v>
      </c>
      <c r="B33" s="74" t="s">
        <v>169</v>
      </c>
      <c r="C33" s="107">
        <f>+D33+E33</f>
        <v>31</v>
      </c>
      <c r="D33" s="107">
        <v>22</v>
      </c>
      <c r="E33" s="113" t="s">
        <v>44</v>
      </c>
      <c r="F33" s="78">
        <v>0</v>
      </c>
      <c r="G33" s="112">
        <v>0</v>
      </c>
      <c r="H33" s="107">
        <f t="shared" si="14"/>
        <v>31</v>
      </c>
      <c r="I33" s="107">
        <f>J33+K33+L33+M33+N33+O33+P33</f>
        <v>27</v>
      </c>
      <c r="J33" s="113" t="s">
        <v>58</v>
      </c>
      <c r="K33" s="78">
        <v>0</v>
      </c>
      <c r="L33" s="113" t="s">
        <v>59</v>
      </c>
      <c r="M33" s="78">
        <v>0</v>
      </c>
      <c r="N33" s="78">
        <v>0</v>
      </c>
      <c r="O33" s="78">
        <v>0</v>
      </c>
      <c r="P33" s="114" t="s">
        <v>40</v>
      </c>
      <c r="Q33" s="115" t="s">
        <v>39</v>
      </c>
      <c r="R33" s="261">
        <f>+L33+M33+N33+O33+P33</f>
        <v>17</v>
      </c>
      <c r="S33" s="108">
        <f t="shared" si="16"/>
        <v>37.03703703703704</v>
      </c>
      <c r="T33" s="47"/>
      <c r="U33" s="67"/>
      <c r="V33" s="66"/>
      <c r="W33" s="47"/>
      <c r="X33" s="65"/>
      <c r="Y33" s="64"/>
      <c r="Z33" s="64"/>
      <c r="AA33" s="64"/>
      <c r="AB33" s="64"/>
      <c r="AC33" s="64"/>
      <c r="AD33" s="64"/>
      <c r="AE33" s="64"/>
      <c r="AF33" s="64"/>
      <c r="AG33" s="64"/>
      <c r="AH33" s="64"/>
      <c r="AI33" s="64"/>
      <c r="AJ33" s="64"/>
      <c r="AK33" s="64"/>
      <c r="AL33" s="64"/>
      <c r="AM33" s="63"/>
      <c r="AN33" s="77"/>
      <c r="AO33" s="60"/>
      <c r="AP33" s="59"/>
      <c r="AQ33" s="59"/>
      <c r="AR33" s="59"/>
      <c r="AS33" s="59"/>
      <c r="AT33" s="60"/>
      <c r="AU33" s="60"/>
      <c r="AV33" s="59"/>
      <c r="AW33" s="59"/>
      <c r="AX33" s="59"/>
      <c r="AY33" s="59"/>
      <c r="AZ33" s="59"/>
      <c r="BA33" s="59"/>
      <c r="BB33" s="59"/>
      <c r="BC33" s="69"/>
      <c r="BD33" s="68"/>
      <c r="BE33" s="56"/>
      <c r="BF33" s="55"/>
      <c r="BG33" s="73"/>
      <c r="BH33" s="53"/>
      <c r="BI33" s="5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c r="EO33" s="32"/>
      <c r="EP33" s="32"/>
      <c r="EQ33" s="32"/>
      <c r="ER33" s="32"/>
      <c r="ES33" s="32"/>
      <c r="ET33" s="32"/>
      <c r="EU33" s="32"/>
      <c r="EV33" s="32"/>
      <c r="EW33" s="32"/>
      <c r="EX33" s="32"/>
      <c r="EY33" s="32"/>
      <c r="EZ33" s="32"/>
      <c r="FA33" s="32"/>
      <c r="FB33" s="32"/>
      <c r="FC33" s="32"/>
      <c r="FD33" s="32"/>
      <c r="FE33" s="32"/>
      <c r="FF33" s="32"/>
      <c r="FG33" s="32"/>
      <c r="FH33" s="32"/>
      <c r="FI33" s="32"/>
      <c r="FJ33" s="32"/>
      <c r="FK33" s="32"/>
      <c r="FL33" s="32"/>
      <c r="FM33" s="32"/>
      <c r="FN33" s="32"/>
      <c r="FO33" s="32"/>
      <c r="FP33" s="32"/>
      <c r="FQ33" s="32"/>
      <c r="FR33" s="32"/>
      <c r="FS33" s="32"/>
      <c r="FT33" s="32"/>
      <c r="FU33" s="32"/>
      <c r="FV33" s="32"/>
      <c r="FW33" s="32"/>
      <c r="FX33" s="32"/>
      <c r="FY33" s="32"/>
      <c r="FZ33" s="32"/>
      <c r="GA33" s="32"/>
      <c r="GB33" s="51"/>
    </row>
    <row r="34" spans="1:184" s="31" customFormat="1" ht="19.5" customHeight="1">
      <c r="A34" s="74" t="s">
        <v>31</v>
      </c>
      <c r="B34" s="74" t="s">
        <v>168</v>
      </c>
      <c r="C34" s="107">
        <f>+D34+E34</f>
        <v>274</v>
      </c>
      <c r="D34" s="107">
        <v>172</v>
      </c>
      <c r="E34" s="113" t="s">
        <v>226</v>
      </c>
      <c r="F34" s="78">
        <v>0</v>
      </c>
      <c r="G34" s="112">
        <v>0</v>
      </c>
      <c r="H34" s="107">
        <f t="shared" si="14"/>
        <v>274</v>
      </c>
      <c r="I34" s="107">
        <f>J34+K34+L34+M34+N34+O34+P34</f>
        <v>266</v>
      </c>
      <c r="J34" s="113" t="s">
        <v>227</v>
      </c>
      <c r="K34" s="113" t="s">
        <v>27</v>
      </c>
      <c r="L34" s="113" t="s">
        <v>229</v>
      </c>
      <c r="M34" s="113" t="s">
        <v>230</v>
      </c>
      <c r="N34" s="78">
        <v>0</v>
      </c>
      <c r="O34" s="78">
        <v>0</v>
      </c>
      <c r="P34" s="114" t="s">
        <v>231</v>
      </c>
      <c r="Q34" s="115" t="s">
        <v>43</v>
      </c>
      <c r="R34" s="261">
        <f>+L34+M34+N34+O34+P34</f>
        <v>211</v>
      </c>
      <c r="S34" s="108">
        <f t="shared" si="16"/>
        <v>20.676691729323306</v>
      </c>
      <c r="T34" s="47"/>
      <c r="U34" s="67"/>
      <c r="V34" s="66"/>
      <c r="W34" s="47"/>
      <c r="X34" s="65"/>
      <c r="Y34" s="64"/>
      <c r="Z34" s="64"/>
      <c r="AA34" s="64"/>
      <c r="AB34" s="64"/>
      <c r="AC34" s="64"/>
      <c r="AD34" s="64"/>
      <c r="AE34" s="64"/>
      <c r="AF34" s="64"/>
      <c r="AG34" s="64"/>
      <c r="AH34" s="64"/>
      <c r="AI34" s="64"/>
      <c r="AJ34" s="64"/>
      <c r="AK34" s="64"/>
      <c r="AL34" s="64"/>
      <c r="AM34" s="63"/>
      <c r="AN34" s="75"/>
      <c r="AO34" s="60"/>
      <c r="AP34" s="59"/>
      <c r="AQ34" s="59"/>
      <c r="AR34" s="59"/>
      <c r="AS34" s="59"/>
      <c r="AT34" s="60"/>
      <c r="AU34" s="60"/>
      <c r="AV34" s="59"/>
      <c r="AW34" s="59"/>
      <c r="AX34" s="59"/>
      <c r="AY34" s="59"/>
      <c r="AZ34" s="59"/>
      <c r="BA34" s="59"/>
      <c r="BB34" s="59"/>
      <c r="BC34" s="69"/>
      <c r="BD34" s="68"/>
      <c r="BE34" s="56"/>
      <c r="BF34" s="55"/>
      <c r="BG34" s="73"/>
      <c r="BH34" s="53"/>
      <c r="BI34" s="5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c r="EO34" s="32"/>
      <c r="EP34" s="32"/>
      <c r="EQ34" s="32"/>
      <c r="ER34" s="32"/>
      <c r="ES34" s="32"/>
      <c r="ET34" s="32"/>
      <c r="EU34" s="32"/>
      <c r="EV34" s="32"/>
      <c r="EW34" s="32"/>
      <c r="EX34" s="32"/>
      <c r="EY34" s="32"/>
      <c r="EZ34" s="32"/>
      <c r="FA34" s="32"/>
      <c r="FB34" s="32"/>
      <c r="FC34" s="32"/>
      <c r="FD34" s="32"/>
      <c r="FE34" s="32"/>
      <c r="FF34" s="32"/>
      <c r="FG34" s="32"/>
      <c r="FH34" s="32"/>
      <c r="FI34" s="32"/>
      <c r="FJ34" s="32"/>
      <c r="FK34" s="32"/>
      <c r="FL34" s="32"/>
      <c r="FM34" s="32"/>
      <c r="FN34" s="32"/>
      <c r="FO34" s="32"/>
      <c r="FP34" s="32"/>
      <c r="FQ34" s="32"/>
      <c r="FR34" s="32"/>
      <c r="FS34" s="32"/>
      <c r="FT34" s="32"/>
      <c r="FU34" s="32"/>
      <c r="FV34" s="32"/>
      <c r="FW34" s="32"/>
      <c r="FX34" s="32"/>
      <c r="FY34" s="32"/>
      <c r="FZ34" s="32"/>
      <c r="GA34" s="32"/>
      <c r="GB34" s="51"/>
    </row>
    <row r="35" spans="1:184" s="31" customFormat="1" ht="19.5" customHeight="1">
      <c r="A35" s="74" t="s">
        <v>167</v>
      </c>
      <c r="B35" s="74" t="s">
        <v>166</v>
      </c>
      <c r="C35" s="107">
        <f>+D35+E35</f>
        <v>225</v>
      </c>
      <c r="D35" s="107">
        <v>172</v>
      </c>
      <c r="E35" s="113" t="s">
        <v>227</v>
      </c>
      <c r="F35" s="78">
        <v>0</v>
      </c>
      <c r="G35" s="112">
        <v>0</v>
      </c>
      <c r="H35" s="107">
        <f t="shared" si="14"/>
        <v>225</v>
      </c>
      <c r="I35" s="107">
        <f>J35+K35+L35+M35+N35+O35+P35</f>
        <v>212</v>
      </c>
      <c r="J35" s="113" t="s">
        <v>202</v>
      </c>
      <c r="K35" s="78">
        <v>0</v>
      </c>
      <c r="L35" s="113" t="s">
        <v>232</v>
      </c>
      <c r="M35" s="113" t="s">
        <v>41</v>
      </c>
      <c r="N35" s="78">
        <v>0</v>
      </c>
      <c r="O35" s="78">
        <v>0</v>
      </c>
      <c r="P35" s="114" t="s">
        <v>202</v>
      </c>
      <c r="Q35" s="115" t="s">
        <v>60</v>
      </c>
      <c r="R35" s="261">
        <f>+L35+M35+N35+O35+P35</f>
        <v>177</v>
      </c>
      <c r="S35" s="108">
        <f t="shared" si="16"/>
        <v>16.50943396226415</v>
      </c>
      <c r="T35" s="47"/>
      <c r="U35" s="67"/>
      <c r="V35" s="66"/>
      <c r="W35" s="47"/>
      <c r="X35" s="65"/>
      <c r="Y35" s="64"/>
      <c r="Z35" s="64"/>
      <c r="AA35" s="64"/>
      <c r="AB35" s="64"/>
      <c r="AC35" s="64"/>
      <c r="AD35" s="64"/>
      <c r="AE35" s="64"/>
      <c r="AF35" s="64"/>
      <c r="AG35" s="64"/>
      <c r="AH35" s="64"/>
      <c r="AI35" s="64"/>
      <c r="AJ35" s="64"/>
      <c r="AK35" s="64"/>
      <c r="AL35" s="64"/>
      <c r="AM35" s="63"/>
      <c r="AN35" s="77"/>
      <c r="AO35" s="60"/>
      <c r="AP35" s="59"/>
      <c r="AQ35" s="59"/>
      <c r="AR35" s="59"/>
      <c r="AS35" s="59"/>
      <c r="AT35" s="60"/>
      <c r="AU35" s="60"/>
      <c r="AV35" s="59"/>
      <c r="AW35" s="59"/>
      <c r="AX35" s="59"/>
      <c r="AY35" s="59"/>
      <c r="AZ35" s="59"/>
      <c r="BA35" s="59"/>
      <c r="BB35" s="59"/>
      <c r="BC35" s="69"/>
      <c r="BD35" s="68"/>
      <c r="BE35" s="56"/>
      <c r="BF35" s="55"/>
      <c r="BG35" s="73"/>
      <c r="BH35" s="53"/>
      <c r="BI35" s="5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c r="EN35" s="32"/>
      <c r="EO35" s="32"/>
      <c r="EP35" s="32"/>
      <c r="EQ35" s="32"/>
      <c r="ER35" s="32"/>
      <c r="ES35" s="32"/>
      <c r="ET35" s="32"/>
      <c r="EU35" s="32"/>
      <c r="EV35" s="32"/>
      <c r="EW35" s="32"/>
      <c r="EX35" s="32"/>
      <c r="EY35" s="32"/>
      <c r="EZ35" s="32"/>
      <c r="FA35" s="32"/>
      <c r="FB35" s="32"/>
      <c r="FC35" s="32"/>
      <c r="FD35" s="32"/>
      <c r="FE35" s="32"/>
      <c r="FF35" s="32"/>
      <c r="FG35" s="32"/>
      <c r="FH35" s="32"/>
      <c r="FI35" s="32"/>
      <c r="FJ35" s="32"/>
      <c r="FK35" s="32"/>
      <c r="FL35" s="32"/>
      <c r="FM35" s="32"/>
      <c r="FN35" s="32"/>
      <c r="FO35" s="32"/>
      <c r="FP35" s="32"/>
      <c r="FQ35" s="32"/>
      <c r="FR35" s="32"/>
      <c r="FS35" s="32"/>
      <c r="FT35" s="32"/>
      <c r="FU35" s="32"/>
      <c r="FV35" s="32"/>
      <c r="FW35" s="32"/>
      <c r="FX35" s="32"/>
      <c r="FY35" s="32"/>
      <c r="FZ35" s="32"/>
      <c r="GA35" s="32"/>
      <c r="GB35" s="51"/>
    </row>
    <row r="36" spans="1:184" s="31" customFormat="1" ht="19.5" customHeight="1">
      <c r="A36" s="74" t="s">
        <v>165</v>
      </c>
      <c r="B36" s="74" t="s">
        <v>164</v>
      </c>
      <c r="C36" s="107">
        <f>+D36+E36</f>
        <v>98</v>
      </c>
      <c r="D36" s="107">
        <v>48</v>
      </c>
      <c r="E36" s="113" t="s">
        <v>228</v>
      </c>
      <c r="F36" s="113" t="s">
        <v>26</v>
      </c>
      <c r="G36" s="112">
        <v>0</v>
      </c>
      <c r="H36" s="107">
        <f t="shared" si="14"/>
        <v>97</v>
      </c>
      <c r="I36" s="107">
        <f>J36+K36+L36+M36+N36+O36+P36</f>
        <v>88</v>
      </c>
      <c r="J36" s="113" t="s">
        <v>233</v>
      </c>
      <c r="K36" s="78">
        <v>0</v>
      </c>
      <c r="L36" s="113" t="s">
        <v>202</v>
      </c>
      <c r="M36" s="113" t="s">
        <v>41</v>
      </c>
      <c r="N36" s="78">
        <v>0</v>
      </c>
      <c r="O36" s="78">
        <v>0</v>
      </c>
      <c r="P36" s="114" t="s">
        <v>234</v>
      </c>
      <c r="Q36" s="115" t="s">
        <v>44</v>
      </c>
      <c r="R36" s="261">
        <f>+L36+M36+N36+O36+P36</f>
        <v>62</v>
      </c>
      <c r="S36" s="108">
        <f t="shared" si="16"/>
        <v>29.545454545454547</v>
      </c>
      <c r="T36" s="47"/>
      <c r="U36" s="67"/>
      <c r="V36" s="66"/>
      <c r="W36" s="47"/>
      <c r="X36" s="65"/>
      <c r="Y36" s="64"/>
      <c r="Z36" s="64"/>
      <c r="AA36" s="64"/>
      <c r="AB36" s="64"/>
      <c r="AC36" s="64"/>
      <c r="AD36" s="64"/>
      <c r="AE36" s="64"/>
      <c r="AF36" s="64"/>
      <c r="AG36" s="64"/>
      <c r="AH36" s="64"/>
      <c r="AI36" s="64"/>
      <c r="AJ36" s="64"/>
      <c r="AK36" s="64"/>
      <c r="AL36" s="64"/>
      <c r="AM36" s="63"/>
      <c r="AN36" s="75"/>
      <c r="AO36" s="60"/>
      <c r="AP36" s="59"/>
      <c r="AQ36" s="59"/>
      <c r="AR36" s="59"/>
      <c r="AS36" s="59"/>
      <c r="AT36" s="60"/>
      <c r="AU36" s="60"/>
      <c r="AV36" s="59"/>
      <c r="AW36" s="59"/>
      <c r="AX36" s="59"/>
      <c r="AY36" s="59"/>
      <c r="AZ36" s="59"/>
      <c r="BA36" s="59"/>
      <c r="BB36" s="59"/>
      <c r="BC36" s="69"/>
      <c r="BD36" s="68"/>
      <c r="BE36" s="56"/>
      <c r="BF36" s="55"/>
      <c r="BG36" s="73"/>
      <c r="BH36" s="53"/>
      <c r="BI36" s="5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32"/>
      <c r="EZ36" s="32"/>
      <c r="FA36" s="32"/>
      <c r="FB36" s="32"/>
      <c r="FC36" s="32"/>
      <c r="FD36" s="32"/>
      <c r="FE36" s="32"/>
      <c r="FF36" s="32"/>
      <c r="FG36" s="32"/>
      <c r="FH36" s="32"/>
      <c r="FI36" s="32"/>
      <c r="FJ36" s="32"/>
      <c r="FK36" s="32"/>
      <c r="FL36" s="32"/>
      <c r="FM36" s="32"/>
      <c r="FN36" s="32"/>
      <c r="FO36" s="32"/>
      <c r="FP36" s="32"/>
      <c r="FQ36" s="32"/>
      <c r="FR36" s="32"/>
      <c r="FS36" s="32"/>
      <c r="FT36" s="32"/>
      <c r="FU36" s="32"/>
      <c r="FV36" s="32"/>
      <c r="FW36" s="32"/>
      <c r="FX36" s="32"/>
      <c r="FY36" s="32"/>
      <c r="FZ36" s="32"/>
      <c r="GA36" s="32"/>
      <c r="GB36" s="51"/>
    </row>
    <row r="37" spans="1:184" s="31" customFormat="1" ht="19.5" customHeight="1">
      <c r="A37" s="74" t="s">
        <v>163</v>
      </c>
      <c r="B37" s="74" t="s">
        <v>162</v>
      </c>
      <c r="C37" s="107">
        <f>+D37+E37</f>
        <v>142</v>
      </c>
      <c r="D37" s="107">
        <v>77</v>
      </c>
      <c r="E37" s="113" t="s">
        <v>211</v>
      </c>
      <c r="F37" s="113" t="s">
        <v>32</v>
      </c>
      <c r="G37" s="112">
        <v>0</v>
      </c>
      <c r="H37" s="107">
        <f t="shared" si="14"/>
        <v>139</v>
      </c>
      <c r="I37" s="107">
        <f>J37+K37+L37+M37+N37+O37+P37</f>
        <v>129</v>
      </c>
      <c r="J37" s="113" t="s">
        <v>235</v>
      </c>
      <c r="K37" s="113" t="s">
        <v>26</v>
      </c>
      <c r="L37" s="113" t="s">
        <v>236</v>
      </c>
      <c r="M37" s="113" t="s">
        <v>32</v>
      </c>
      <c r="N37" s="113" t="s">
        <v>27</v>
      </c>
      <c r="O37" s="78">
        <v>0</v>
      </c>
      <c r="P37" s="114" t="s">
        <v>40</v>
      </c>
      <c r="Q37" s="115" t="s">
        <v>58</v>
      </c>
      <c r="R37" s="261">
        <f>+L37+M37+N37+O37+P37</f>
        <v>98</v>
      </c>
      <c r="S37" s="108">
        <f t="shared" si="16"/>
        <v>24.031007751937985</v>
      </c>
      <c r="T37" s="47"/>
      <c r="U37" s="67"/>
      <c r="V37" s="66"/>
      <c r="W37" s="47"/>
      <c r="X37" s="65"/>
      <c r="Y37" s="64"/>
      <c r="Z37" s="64"/>
      <c r="AA37" s="64"/>
      <c r="AB37" s="64"/>
      <c r="AC37" s="64"/>
      <c r="AD37" s="64"/>
      <c r="AE37" s="64"/>
      <c r="AF37" s="64"/>
      <c r="AG37" s="64"/>
      <c r="AH37" s="64"/>
      <c r="AI37" s="64"/>
      <c r="AJ37" s="64"/>
      <c r="AK37" s="64"/>
      <c r="AL37" s="64"/>
      <c r="AM37" s="63"/>
      <c r="AN37" s="75"/>
      <c r="AO37" s="60"/>
      <c r="AP37" s="59"/>
      <c r="AQ37" s="59"/>
      <c r="AR37" s="59"/>
      <c r="AS37" s="59"/>
      <c r="AT37" s="60"/>
      <c r="AU37" s="60"/>
      <c r="AV37" s="59"/>
      <c r="AW37" s="59"/>
      <c r="AX37" s="59"/>
      <c r="AY37" s="59"/>
      <c r="AZ37" s="59"/>
      <c r="BA37" s="59"/>
      <c r="BB37" s="59"/>
      <c r="BC37" s="69"/>
      <c r="BD37" s="68"/>
      <c r="BE37" s="56"/>
      <c r="BF37" s="55"/>
      <c r="BG37" s="73"/>
      <c r="BH37" s="53"/>
      <c r="BI37" s="5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c r="EO37" s="32"/>
      <c r="EP37" s="32"/>
      <c r="EQ37" s="32"/>
      <c r="ER37" s="32"/>
      <c r="ES37" s="32"/>
      <c r="ET37" s="32"/>
      <c r="EU37" s="32"/>
      <c r="EV37" s="32"/>
      <c r="EW37" s="32"/>
      <c r="EX37" s="32"/>
      <c r="EY37" s="32"/>
      <c r="EZ37" s="32"/>
      <c r="FA37" s="32"/>
      <c r="FB37" s="32"/>
      <c r="FC37" s="32"/>
      <c r="FD37" s="32"/>
      <c r="FE37" s="32"/>
      <c r="FF37" s="32"/>
      <c r="FG37" s="32"/>
      <c r="FH37" s="32"/>
      <c r="FI37" s="32"/>
      <c r="FJ37" s="32"/>
      <c r="FK37" s="32"/>
      <c r="FL37" s="32"/>
      <c r="FM37" s="32"/>
      <c r="FN37" s="32"/>
      <c r="FO37" s="32"/>
      <c r="FP37" s="32"/>
      <c r="FQ37" s="32"/>
      <c r="FR37" s="32"/>
      <c r="FS37" s="32"/>
      <c r="FT37" s="32"/>
      <c r="FU37" s="32"/>
      <c r="FV37" s="32"/>
      <c r="FW37" s="32"/>
      <c r="FX37" s="32"/>
      <c r="FY37" s="32"/>
      <c r="FZ37" s="32"/>
      <c r="GA37" s="32"/>
      <c r="GB37" s="51"/>
    </row>
    <row r="38" spans="1:184" s="31" customFormat="1" ht="19.5" customHeight="1">
      <c r="A38" s="254" t="s">
        <v>32</v>
      </c>
      <c r="B38" s="254" t="s">
        <v>161</v>
      </c>
      <c r="C38" s="107">
        <f>C39+C40+C41+C42</f>
        <v>833</v>
      </c>
      <c r="D38" s="107">
        <f>D39+D40+D41+D42</f>
        <v>407</v>
      </c>
      <c r="E38" s="107">
        <f>E39+E40+E41+E42</f>
        <v>426</v>
      </c>
      <c r="F38" s="107">
        <f>F39+F40+F41+F42</f>
        <v>10</v>
      </c>
      <c r="G38" s="107">
        <f>G39+G40+G41+G42</f>
        <v>0</v>
      </c>
      <c r="H38" s="107">
        <f aca="true" t="shared" si="17" ref="H38:R38">+H39+H40+H41+H42</f>
        <v>823</v>
      </c>
      <c r="I38" s="107">
        <f t="shared" si="17"/>
        <v>697</v>
      </c>
      <c r="J38" s="107">
        <f t="shared" si="17"/>
        <v>255</v>
      </c>
      <c r="K38" s="107">
        <f t="shared" si="17"/>
        <v>4</v>
      </c>
      <c r="L38" s="107">
        <f t="shared" si="17"/>
        <v>405</v>
      </c>
      <c r="M38" s="107">
        <f t="shared" si="17"/>
        <v>8</v>
      </c>
      <c r="N38" s="107">
        <f t="shared" si="17"/>
        <v>0</v>
      </c>
      <c r="O38" s="107">
        <f t="shared" si="17"/>
        <v>0</v>
      </c>
      <c r="P38" s="107">
        <f t="shared" si="17"/>
        <v>25</v>
      </c>
      <c r="Q38" s="107">
        <f t="shared" si="17"/>
        <v>126</v>
      </c>
      <c r="R38" s="107">
        <f t="shared" si="17"/>
        <v>564</v>
      </c>
      <c r="S38" s="108">
        <f t="shared" si="16"/>
        <v>37.15925394548063</v>
      </c>
      <c r="T38" s="47"/>
      <c r="U38" s="67"/>
      <c r="V38" s="66"/>
      <c r="W38" s="47"/>
      <c r="X38" s="65"/>
      <c r="Y38" s="64"/>
      <c r="Z38" s="64"/>
      <c r="AA38" s="64"/>
      <c r="AB38" s="64"/>
      <c r="AC38" s="64"/>
      <c r="AD38" s="64"/>
      <c r="AE38" s="64"/>
      <c r="AF38" s="64"/>
      <c r="AG38" s="64"/>
      <c r="AH38" s="64"/>
      <c r="AI38" s="64"/>
      <c r="AJ38" s="64"/>
      <c r="AK38" s="64"/>
      <c r="AL38" s="64"/>
      <c r="AM38" s="72"/>
      <c r="AN38" s="71"/>
      <c r="AO38" s="60"/>
      <c r="AP38" s="60"/>
      <c r="AQ38" s="60"/>
      <c r="AR38" s="60"/>
      <c r="AS38" s="60"/>
      <c r="AT38" s="60"/>
      <c r="AU38" s="60"/>
      <c r="AV38" s="60"/>
      <c r="AW38" s="60"/>
      <c r="AX38" s="60"/>
      <c r="AY38" s="60"/>
      <c r="AZ38" s="60"/>
      <c r="BA38" s="60"/>
      <c r="BB38" s="60"/>
      <c r="BC38" s="60"/>
      <c r="BD38" s="60"/>
      <c r="BE38" s="56"/>
      <c r="BF38" s="55"/>
      <c r="BG38" s="73"/>
      <c r="BH38" s="53"/>
      <c r="BI38" s="5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c r="EO38" s="32"/>
      <c r="EP38" s="32"/>
      <c r="EQ38" s="32"/>
      <c r="ER38" s="32"/>
      <c r="ES38" s="32"/>
      <c r="ET38" s="32"/>
      <c r="EU38" s="32"/>
      <c r="EV38" s="32"/>
      <c r="EW38" s="32"/>
      <c r="EX38" s="32"/>
      <c r="EY38" s="32"/>
      <c r="EZ38" s="32"/>
      <c r="FA38" s="32"/>
      <c r="FB38" s="32"/>
      <c r="FC38" s="32"/>
      <c r="FD38" s="32"/>
      <c r="FE38" s="32"/>
      <c r="FF38" s="32"/>
      <c r="FG38" s="32"/>
      <c r="FH38" s="32"/>
      <c r="FI38" s="32"/>
      <c r="FJ38" s="32"/>
      <c r="FK38" s="32"/>
      <c r="FL38" s="32"/>
      <c r="FM38" s="32"/>
      <c r="FN38" s="32"/>
      <c r="FO38" s="32"/>
      <c r="FP38" s="32"/>
      <c r="FQ38" s="32"/>
      <c r="FR38" s="32"/>
      <c r="FS38" s="32"/>
      <c r="FT38" s="32"/>
      <c r="FU38" s="32"/>
      <c r="FV38" s="32"/>
      <c r="FW38" s="32"/>
      <c r="FX38" s="32"/>
      <c r="FY38" s="32"/>
      <c r="FZ38" s="32"/>
      <c r="GA38" s="32"/>
      <c r="GB38" s="51"/>
    </row>
    <row r="39" spans="1:184" s="31" customFormat="1" ht="19.5" customHeight="1">
      <c r="A39" s="74" t="s">
        <v>72</v>
      </c>
      <c r="B39" s="74" t="s">
        <v>160</v>
      </c>
      <c r="C39" s="107">
        <f aca="true" t="shared" si="18" ref="C39:C76">+D39+E39</f>
        <v>105</v>
      </c>
      <c r="D39" s="107">
        <v>61</v>
      </c>
      <c r="E39" s="258">
        <v>44</v>
      </c>
      <c r="F39" s="258">
        <v>2</v>
      </c>
      <c r="G39" s="107">
        <v>0</v>
      </c>
      <c r="H39" s="107">
        <f>I39+Q39</f>
        <v>103</v>
      </c>
      <c r="I39" s="107">
        <f>J39+K39+L39+M39+N39+O39+P39</f>
        <v>90</v>
      </c>
      <c r="J39" s="258">
        <v>44</v>
      </c>
      <c r="K39" s="258">
        <v>2</v>
      </c>
      <c r="L39" s="258">
        <v>41</v>
      </c>
      <c r="M39" s="258">
        <v>3</v>
      </c>
      <c r="N39" s="258">
        <v>0</v>
      </c>
      <c r="O39" s="258">
        <v>0</v>
      </c>
      <c r="P39" s="258">
        <v>0</v>
      </c>
      <c r="Q39" s="259">
        <v>13</v>
      </c>
      <c r="R39" s="261">
        <f>+Q39+P39+O39+N39+M39+L39</f>
        <v>57</v>
      </c>
      <c r="S39" s="108">
        <f t="shared" si="16"/>
        <v>51.11111111111111</v>
      </c>
      <c r="T39" s="47"/>
      <c r="U39" s="67"/>
      <c r="V39" s="66"/>
      <c r="W39" s="47"/>
      <c r="X39" s="65"/>
      <c r="Y39" s="64"/>
      <c r="Z39" s="64"/>
      <c r="AA39" s="64"/>
      <c r="AB39" s="64"/>
      <c r="AC39" s="64"/>
      <c r="AD39" s="64"/>
      <c r="AE39" s="64"/>
      <c r="AF39" s="64"/>
      <c r="AG39" s="64"/>
      <c r="AH39" s="64"/>
      <c r="AI39" s="64"/>
      <c r="AJ39" s="64"/>
      <c r="AK39" s="64"/>
      <c r="AL39" s="64"/>
      <c r="AM39" s="63"/>
      <c r="AN39" s="70"/>
      <c r="AO39" s="60"/>
      <c r="AP39" s="59"/>
      <c r="AQ39" s="59"/>
      <c r="AR39" s="59"/>
      <c r="AS39" s="59"/>
      <c r="AT39" s="60"/>
      <c r="AU39" s="60"/>
      <c r="AV39" s="59"/>
      <c r="AW39" s="59"/>
      <c r="AX39" s="59"/>
      <c r="AY39" s="59"/>
      <c r="AZ39" s="59"/>
      <c r="BA39" s="59"/>
      <c r="BB39" s="59"/>
      <c r="BC39" s="69"/>
      <c r="BD39" s="68"/>
      <c r="BE39" s="56"/>
      <c r="BF39" s="55"/>
      <c r="BG39" s="73"/>
      <c r="BH39" s="53"/>
      <c r="BI39" s="5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c r="EO39" s="32"/>
      <c r="EP39" s="32"/>
      <c r="EQ39" s="32"/>
      <c r="ER39" s="32"/>
      <c r="ES39" s="32"/>
      <c r="ET39" s="32"/>
      <c r="EU39" s="32"/>
      <c r="EV39" s="32"/>
      <c r="EW39" s="32"/>
      <c r="EX39" s="32"/>
      <c r="EY39" s="32"/>
      <c r="EZ39" s="32"/>
      <c r="FA39" s="32"/>
      <c r="FB39" s="32"/>
      <c r="FC39" s="32"/>
      <c r="FD39" s="32"/>
      <c r="FE39" s="32"/>
      <c r="FF39" s="32"/>
      <c r="FG39" s="32"/>
      <c r="FH39" s="32"/>
      <c r="FI39" s="32"/>
      <c r="FJ39" s="32"/>
      <c r="FK39" s="32"/>
      <c r="FL39" s="32"/>
      <c r="FM39" s="32"/>
      <c r="FN39" s="32"/>
      <c r="FO39" s="32"/>
      <c r="FP39" s="32"/>
      <c r="FQ39" s="32"/>
      <c r="FR39" s="32"/>
      <c r="FS39" s="32"/>
      <c r="FT39" s="32"/>
      <c r="FU39" s="32"/>
      <c r="FV39" s="32"/>
      <c r="FW39" s="32"/>
      <c r="FX39" s="32"/>
      <c r="FY39" s="32"/>
      <c r="FZ39" s="32"/>
      <c r="GA39" s="32"/>
      <c r="GB39" s="51"/>
    </row>
    <row r="40" spans="1:184" s="31" customFormat="1" ht="19.5" customHeight="1">
      <c r="A40" s="74" t="s">
        <v>73</v>
      </c>
      <c r="B40" s="74" t="s">
        <v>159</v>
      </c>
      <c r="C40" s="107">
        <f t="shared" si="18"/>
        <v>179</v>
      </c>
      <c r="D40" s="107">
        <v>135</v>
      </c>
      <c r="E40" s="258" t="s">
        <v>203</v>
      </c>
      <c r="F40" s="258" t="s">
        <v>27</v>
      </c>
      <c r="G40" s="107">
        <v>0</v>
      </c>
      <c r="H40" s="107">
        <f>I40+Q40</f>
        <v>177</v>
      </c>
      <c r="I40" s="107">
        <f>J40+K40+L40+M40+N40+O40+P40</f>
        <v>149</v>
      </c>
      <c r="J40" s="258" t="s">
        <v>206</v>
      </c>
      <c r="K40" s="258" t="s">
        <v>26</v>
      </c>
      <c r="L40" s="258" t="s">
        <v>207</v>
      </c>
      <c r="M40" s="258">
        <v>0</v>
      </c>
      <c r="N40" s="258">
        <v>0</v>
      </c>
      <c r="O40" s="258">
        <v>0</v>
      </c>
      <c r="P40" s="260" t="s">
        <v>44</v>
      </c>
      <c r="Q40" s="259" t="s">
        <v>208</v>
      </c>
      <c r="R40" s="261">
        <f>+Q40+P40+O40+N40+M40+L40</f>
        <v>138</v>
      </c>
      <c r="S40" s="108">
        <f t="shared" si="16"/>
        <v>26.174496644295303</v>
      </c>
      <c r="T40" s="47"/>
      <c r="U40" s="67"/>
      <c r="V40" s="66"/>
      <c r="W40" s="47"/>
      <c r="X40" s="65"/>
      <c r="Y40" s="64"/>
      <c r="Z40" s="64"/>
      <c r="AA40" s="64"/>
      <c r="AB40" s="64"/>
      <c r="AC40" s="64"/>
      <c r="AD40" s="64"/>
      <c r="AE40" s="64"/>
      <c r="AF40" s="64"/>
      <c r="AG40" s="64"/>
      <c r="AH40" s="64"/>
      <c r="AI40" s="64"/>
      <c r="AJ40" s="64"/>
      <c r="AK40" s="64"/>
      <c r="AL40" s="64"/>
      <c r="AM40" s="63"/>
      <c r="AN40" s="62"/>
      <c r="AO40" s="60"/>
      <c r="AP40" s="59"/>
      <c r="AQ40" s="59"/>
      <c r="AR40" s="59"/>
      <c r="AS40" s="59"/>
      <c r="AT40" s="60"/>
      <c r="AU40" s="60"/>
      <c r="AV40" s="59"/>
      <c r="AW40" s="59"/>
      <c r="AX40" s="59"/>
      <c r="AY40" s="59"/>
      <c r="AZ40" s="59"/>
      <c r="BA40" s="59"/>
      <c r="BB40" s="59"/>
      <c r="BC40" s="69"/>
      <c r="BD40" s="68"/>
      <c r="BE40" s="56"/>
      <c r="BF40" s="55"/>
      <c r="BG40" s="73"/>
      <c r="BH40" s="53"/>
      <c r="BI40" s="5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2"/>
      <c r="EV40" s="32"/>
      <c r="EW40" s="32"/>
      <c r="EX40" s="32"/>
      <c r="EY40" s="32"/>
      <c r="EZ40" s="32"/>
      <c r="FA40" s="32"/>
      <c r="FB40" s="32"/>
      <c r="FC40" s="32"/>
      <c r="FD40" s="32"/>
      <c r="FE40" s="32"/>
      <c r="FF40" s="32"/>
      <c r="FG40" s="32"/>
      <c r="FH40" s="32"/>
      <c r="FI40" s="32"/>
      <c r="FJ40" s="32"/>
      <c r="FK40" s="32"/>
      <c r="FL40" s="32"/>
      <c r="FM40" s="32"/>
      <c r="FN40" s="32"/>
      <c r="FO40" s="32"/>
      <c r="FP40" s="32"/>
      <c r="FQ40" s="32"/>
      <c r="FR40" s="32"/>
      <c r="FS40" s="32"/>
      <c r="FT40" s="32"/>
      <c r="FU40" s="32"/>
      <c r="FV40" s="32"/>
      <c r="FW40" s="32"/>
      <c r="FX40" s="32"/>
      <c r="FY40" s="32"/>
      <c r="FZ40" s="32"/>
      <c r="GA40" s="32"/>
      <c r="GB40" s="51"/>
    </row>
    <row r="41" spans="1:184" s="31" customFormat="1" ht="19.5" customHeight="1">
      <c r="A41" s="74" t="s">
        <v>74</v>
      </c>
      <c r="B41" s="74" t="s">
        <v>158</v>
      </c>
      <c r="C41" s="107">
        <f t="shared" si="18"/>
        <v>389</v>
      </c>
      <c r="D41" s="107">
        <v>117</v>
      </c>
      <c r="E41" s="258" t="s">
        <v>204</v>
      </c>
      <c r="F41" s="258" t="s">
        <v>41</v>
      </c>
      <c r="G41" s="107">
        <v>0</v>
      </c>
      <c r="H41" s="107">
        <f>I41+Q41</f>
        <v>383</v>
      </c>
      <c r="I41" s="107">
        <f>J41+K41+L41+M41+N41+O41+P41</f>
        <v>318</v>
      </c>
      <c r="J41" s="258" t="s">
        <v>209</v>
      </c>
      <c r="K41" s="258"/>
      <c r="L41" s="258" t="s">
        <v>210</v>
      </c>
      <c r="M41" s="258" t="s">
        <v>39</v>
      </c>
      <c r="N41" s="258">
        <v>0</v>
      </c>
      <c r="O41" s="258">
        <v>0</v>
      </c>
      <c r="P41" s="260"/>
      <c r="Q41" s="259" t="s">
        <v>211</v>
      </c>
      <c r="R41" s="261">
        <f>+Q41+P41+O41+N41+M41+L41</f>
        <v>270</v>
      </c>
      <c r="S41" s="108">
        <f t="shared" si="16"/>
        <v>35.53459119496855</v>
      </c>
      <c r="T41" s="47"/>
      <c r="U41" s="67"/>
      <c r="V41" s="66"/>
      <c r="W41" s="47"/>
      <c r="X41" s="65"/>
      <c r="Y41" s="64"/>
      <c r="Z41" s="64"/>
      <c r="AA41" s="64"/>
      <c r="AB41" s="64"/>
      <c r="AC41" s="64"/>
      <c r="AD41" s="64"/>
      <c r="AE41" s="64"/>
      <c r="AF41" s="64"/>
      <c r="AG41" s="64"/>
      <c r="AH41" s="64"/>
      <c r="AI41" s="64"/>
      <c r="AJ41" s="64"/>
      <c r="AK41" s="64"/>
      <c r="AL41" s="64"/>
      <c r="AM41" s="63"/>
      <c r="AN41" s="62"/>
      <c r="AO41" s="60"/>
      <c r="AP41" s="59"/>
      <c r="AQ41" s="59"/>
      <c r="AR41" s="59"/>
      <c r="AS41" s="59"/>
      <c r="AT41" s="60"/>
      <c r="AU41" s="60"/>
      <c r="AV41" s="59"/>
      <c r="AW41" s="59"/>
      <c r="AX41" s="59"/>
      <c r="AY41" s="59"/>
      <c r="AZ41" s="59"/>
      <c r="BA41" s="59"/>
      <c r="BB41" s="59"/>
      <c r="BC41" s="69"/>
      <c r="BD41" s="68"/>
      <c r="BE41" s="56"/>
      <c r="BF41" s="55"/>
      <c r="BG41" s="73"/>
      <c r="BH41" s="53"/>
      <c r="BI41" s="5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c r="EO41" s="32"/>
      <c r="EP41" s="32"/>
      <c r="EQ41" s="32"/>
      <c r="ER41" s="32"/>
      <c r="ES41" s="32"/>
      <c r="ET41" s="32"/>
      <c r="EU41" s="32"/>
      <c r="EV41" s="32"/>
      <c r="EW41" s="32"/>
      <c r="EX41" s="32"/>
      <c r="EY41" s="32"/>
      <c r="EZ41" s="32"/>
      <c r="FA41" s="32"/>
      <c r="FB41" s="32"/>
      <c r="FC41" s="32"/>
      <c r="FD41" s="32"/>
      <c r="FE41" s="32"/>
      <c r="FF41" s="32"/>
      <c r="FG41" s="32"/>
      <c r="FH41" s="32"/>
      <c r="FI41" s="32"/>
      <c r="FJ41" s="32"/>
      <c r="FK41" s="32"/>
      <c r="FL41" s="32"/>
      <c r="FM41" s="32"/>
      <c r="FN41" s="32"/>
      <c r="FO41" s="32"/>
      <c r="FP41" s="32"/>
      <c r="FQ41" s="32"/>
      <c r="FR41" s="32"/>
      <c r="FS41" s="32"/>
      <c r="FT41" s="32"/>
      <c r="FU41" s="32"/>
      <c r="FV41" s="32"/>
      <c r="FW41" s="32"/>
      <c r="FX41" s="32"/>
      <c r="FY41" s="32"/>
      <c r="FZ41" s="32"/>
      <c r="GA41" s="32"/>
      <c r="GB41" s="51"/>
    </row>
    <row r="42" spans="1:184" s="31" customFormat="1" ht="19.5" customHeight="1">
      <c r="A42" s="74" t="s">
        <v>157</v>
      </c>
      <c r="B42" s="74" t="s">
        <v>156</v>
      </c>
      <c r="C42" s="107">
        <f t="shared" si="18"/>
        <v>160</v>
      </c>
      <c r="D42" s="107">
        <v>94</v>
      </c>
      <c r="E42" s="258" t="s">
        <v>205</v>
      </c>
      <c r="F42" s="258">
        <v>0</v>
      </c>
      <c r="G42" s="107">
        <v>0</v>
      </c>
      <c r="H42" s="107">
        <f>I42+Q42</f>
        <v>160</v>
      </c>
      <c r="I42" s="107">
        <f>J42+K42+L42+M42+N42+O42+P42</f>
        <v>140</v>
      </c>
      <c r="J42" s="258" t="s">
        <v>212</v>
      </c>
      <c r="K42" s="258" t="s">
        <v>26</v>
      </c>
      <c r="L42" s="258" t="s">
        <v>213</v>
      </c>
      <c r="M42" s="258" t="s">
        <v>26</v>
      </c>
      <c r="N42" s="258">
        <v>0</v>
      </c>
      <c r="O42" s="258">
        <v>0</v>
      </c>
      <c r="P42" s="260" t="s">
        <v>214</v>
      </c>
      <c r="Q42" s="259" t="s">
        <v>215</v>
      </c>
      <c r="R42" s="261">
        <f>+Q42+P42+O42+N42+M42+L42</f>
        <v>99</v>
      </c>
      <c r="S42" s="108">
        <f t="shared" si="16"/>
        <v>43.57142857142857</v>
      </c>
      <c r="T42" s="47"/>
      <c r="U42" s="67"/>
      <c r="V42" s="66"/>
      <c r="W42" s="47"/>
      <c r="X42" s="65"/>
      <c r="Y42" s="64"/>
      <c r="Z42" s="64"/>
      <c r="AA42" s="64"/>
      <c r="AB42" s="64"/>
      <c r="AC42" s="64"/>
      <c r="AD42" s="64"/>
      <c r="AE42" s="64"/>
      <c r="AF42" s="64"/>
      <c r="AG42" s="64"/>
      <c r="AH42" s="64"/>
      <c r="AI42" s="64"/>
      <c r="AJ42" s="64"/>
      <c r="AK42" s="64"/>
      <c r="AL42" s="64"/>
      <c r="AM42" s="63"/>
      <c r="AN42" s="62"/>
      <c r="AO42" s="60"/>
      <c r="AP42" s="59"/>
      <c r="AQ42" s="59"/>
      <c r="AR42" s="59"/>
      <c r="AS42" s="59"/>
      <c r="AT42" s="60"/>
      <c r="AU42" s="60"/>
      <c r="AV42" s="59"/>
      <c r="AW42" s="59"/>
      <c r="AX42" s="59"/>
      <c r="AY42" s="59"/>
      <c r="AZ42" s="59"/>
      <c r="BA42" s="59"/>
      <c r="BB42" s="59"/>
      <c r="BC42" s="69"/>
      <c r="BD42" s="68"/>
      <c r="BE42" s="56"/>
      <c r="BF42" s="55"/>
      <c r="BG42" s="73"/>
      <c r="BH42" s="53"/>
      <c r="BI42" s="5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c r="EN42" s="32"/>
      <c r="EO42" s="32"/>
      <c r="EP42" s="32"/>
      <c r="EQ42" s="32"/>
      <c r="ER42" s="32"/>
      <c r="ES42" s="32"/>
      <c r="ET42" s="32"/>
      <c r="EU42" s="32"/>
      <c r="EV42" s="32"/>
      <c r="EW42" s="32"/>
      <c r="EX42" s="32"/>
      <c r="EY42" s="32"/>
      <c r="EZ42" s="32"/>
      <c r="FA42" s="32"/>
      <c r="FB42" s="32"/>
      <c r="FC42" s="32"/>
      <c r="FD42" s="32"/>
      <c r="FE42" s="32"/>
      <c r="FF42" s="32"/>
      <c r="FG42" s="32"/>
      <c r="FH42" s="32"/>
      <c r="FI42" s="32"/>
      <c r="FJ42" s="32"/>
      <c r="FK42" s="32"/>
      <c r="FL42" s="32"/>
      <c r="FM42" s="32"/>
      <c r="FN42" s="32"/>
      <c r="FO42" s="32"/>
      <c r="FP42" s="32"/>
      <c r="FQ42" s="32"/>
      <c r="FR42" s="32"/>
      <c r="FS42" s="32"/>
      <c r="FT42" s="32"/>
      <c r="FU42" s="32"/>
      <c r="FV42" s="32"/>
      <c r="FW42" s="32"/>
      <c r="FX42" s="32"/>
      <c r="FY42" s="32"/>
      <c r="FZ42" s="32"/>
      <c r="GA42" s="32"/>
      <c r="GB42" s="51"/>
    </row>
    <row r="43" spans="1:184" s="31" customFormat="1" ht="19.5" customHeight="1">
      <c r="A43" s="254" t="s">
        <v>39</v>
      </c>
      <c r="B43" s="254" t="s">
        <v>155</v>
      </c>
      <c r="C43" s="107">
        <f t="shared" si="18"/>
        <v>612</v>
      </c>
      <c r="D43" s="107">
        <f>SUM(D44:D47)</f>
        <v>293</v>
      </c>
      <c r="E43" s="107">
        <f>SUM(E44:E47)</f>
        <v>319</v>
      </c>
      <c r="F43" s="107">
        <f>SUM(F44:F47)</f>
        <v>15</v>
      </c>
      <c r="G43" s="107">
        <f>SUM(G44:G47)</f>
        <v>0</v>
      </c>
      <c r="H43" s="107">
        <f aca="true" t="shared" si="19" ref="H43:H71">SUM(I43,Q43)</f>
        <v>597</v>
      </c>
      <c r="I43" s="107">
        <f aca="true" t="shared" si="20" ref="I43:I71">SUM(J43:P43)</f>
        <v>540</v>
      </c>
      <c r="J43" s="107">
        <f aca="true" t="shared" si="21" ref="J43:Q43">SUM(J44:J47)</f>
        <v>162</v>
      </c>
      <c r="K43" s="107">
        <f t="shared" si="21"/>
        <v>16</v>
      </c>
      <c r="L43" s="107">
        <f t="shared" si="21"/>
        <v>349</v>
      </c>
      <c r="M43" s="107">
        <f t="shared" si="21"/>
        <v>1</v>
      </c>
      <c r="N43" s="107">
        <f t="shared" si="21"/>
        <v>0</v>
      </c>
      <c r="O43" s="107">
        <f t="shared" si="21"/>
        <v>0</v>
      </c>
      <c r="P43" s="107">
        <f t="shared" si="21"/>
        <v>12</v>
      </c>
      <c r="Q43" s="107">
        <f t="shared" si="21"/>
        <v>57</v>
      </c>
      <c r="R43" s="261">
        <f aca="true" t="shared" si="22" ref="R43:R76">SUM(L43:Q43)</f>
        <v>419</v>
      </c>
      <c r="S43" s="108">
        <f t="shared" si="16"/>
        <v>32.96296296296296</v>
      </c>
      <c r="T43" s="47"/>
      <c r="U43" s="67"/>
      <c r="V43" s="66"/>
      <c r="W43" s="47"/>
      <c r="X43" s="65"/>
      <c r="Y43" s="64"/>
      <c r="Z43" s="64"/>
      <c r="AA43" s="64"/>
      <c r="AB43" s="64"/>
      <c r="AC43" s="64"/>
      <c r="AD43" s="64"/>
      <c r="AE43" s="64"/>
      <c r="AF43" s="64"/>
      <c r="AG43" s="64"/>
      <c r="AH43" s="64"/>
      <c r="AI43" s="64"/>
      <c r="AJ43" s="64"/>
      <c r="AK43" s="64"/>
      <c r="AL43" s="64"/>
      <c r="AM43" s="72"/>
      <c r="AN43" s="71"/>
      <c r="AO43" s="60"/>
      <c r="AP43" s="60"/>
      <c r="AQ43" s="60"/>
      <c r="AR43" s="60"/>
      <c r="AS43" s="60"/>
      <c r="AT43" s="60"/>
      <c r="AU43" s="60"/>
      <c r="AV43" s="60"/>
      <c r="AW43" s="60"/>
      <c r="AX43" s="60"/>
      <c r="AY43" s="60"/>
      <c r="AZ43" s="60"/>
      <c r="BA43" s="60"/>
      <c r="BB43" s="60"/>
      <c r="BC43" s="60"/>
      <c r="BD43" s="60"/>
      <c r="BE43" s="56"/>
      <c r="BF43" s="55"/>
      <c r="BG43" s="73"/>
      <c r="BH43" s="53"/>
      <c r="BI43" s="5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c r="EN43" s="32"/>
      <c r="EO43" s="32"/>
      <c r="EP43" s="32"/>
      <c r="EQ43" s="32"/>
      <c r="ER43" s="32"/>
      <c r="ES43" s="32"/>
      <c r="ET43" s="32"/>
      <c r="EU43" s="32"/>
      <c r="EV43" s="32"/>
      <c r="EW43" s="32"/>
      <c r="EX43" s="32"/>
      <c r="EY43" s="32"/>
      <c r="EZ43" s="32"/>
      <c r="FA43" s="32"/>
      <c r="FB43" s="32"/>
      <c r="FC43" s="32"/>
      <c r="FD43" s="32"/>
      <c r="FE43" s="32"/>
      <c r="FF43" s="32"/>
      <c r="FG43" s="32"/>
      <c r="FH43" s="32"/>
      <c r="FI43" s="32"/>
      <c r="FJ43" s="32"/>
      <c r="FK43" s="32"/>
      <c r="FL43" s="32"/>
      <c r="FM43" s="32"/>
      <c r="FN43" s="32"/>
      <c r="FO43" s="32"/>
      <c r="FP43" s="32"/>
      <c r="FQ43" s="32"/>
      <c r="FR43" s="32"/>
      <c r="FS43" s="32"/>
      <c r="FT43" s="32"/>
      <c r="FU43" s="32"/>
      <c r="FV43" s="32"/>
      <c r="FW43" s="32"/>
      <c r="FX43" s="32"/>
      <c r="FY43" s="32"/>
      <c r="FZ43" s="32"/>
      <c r="GA43" s="32"/>
      <c r="GB43" s="51"/>
    </row>
    <row r="44" spans="1:184" s="31" customFormat="1" ht="19.5" customHeight="1">
      <c r="A44" s="74" t="s">
        <v>75</v>
      </c>
      <c r="B44" s="74" t="s">
        <v>154</v>
      </c>
      <c r="C44" s="107">
        <f t="shared" si="18"/>
        <v>127</v>
      </c>
      <c r="D44" s="107">
        <v>55</v>
      </c>
      <c r="E44" s="107">
        <v>72</v>
      </c>
      <c r="F44" s="107">
        <v>4</v>
      </c>
      <c r="G44" s="107">
        <v>0</v>
      </c>
      <c r="H44" s="107">
        <f t="shared" si="19"/>
        <v>123</v>
      </c>
      <c r="I44" s="107">
        <f t="shared" si="20"/>
        <v>111</v>
      </c>
      <c r="J44" s="107">
        <v>39</v>
      </c>
      <c r="K44" s="107">
        <v>1</v>
      </c>
      <c r="L44" s="107">
        <v>71</v>
      </c>
      <c r="M44" s="107">
        <v>0</v>
      </c>
      <c r="N44" s="107">
        <v>0</v>
      </c>
      <c r="O44" s="107">
        <v>0</v>
      </c>
      <c r="P44" s="109">
        <v>0</v>
      </c>
      <c r="Q44" s="261">
        <v>12</v>
      </c>
      <c r="R44" s="261">
        <f t="shared" si="22"/>
        <v>83</v>
      </c>
      <c r="S44" s="108">
        <f t="shared" si="16"/>
        <v>36.03603603603604</v>
      </c>
      <c r="T44" s="47"/>
      <c r="U44" s="67"/>
      <c r="V44" s="66"/>
      <c r="W44" s="47"/>
      <c r="X44" s="65"/>
      <c r="Y44" s="64"/>
      <c r="Z44" s="64"/>
      <c r="AA44" s="64"/>
      <c r="AB44" s="64"/>
      <c r="AC44" s="64"/>
      <c r="AD44" s="64"/>
      <c r="AE44" s="64"/>
      <c r="AF44" s="64"/>
      <c r="AG44" s="64"/>
      <c r="AH44" s="64"/>
      <c r="AI44" s="64"/>
      <c r="AJ44" s="64"/>
      <c r="AK44" s="64"/>
      <c r="AL44" s="64"/>
      <c r="AM44" s="63"/>
      <c r="AN44" s="62"/>
      <c r="AO44" s="60"/>
      <c r="AP44" s="59"/>
      <c r="AQ44" s="59"/>
      <c r="AR44" s="59"/>
      <c r="AS44" s="59"/>
      <c r="AT44" s="60"/>
      <c r="AU44" s="60"/>
      <c r="AV44" s="59"/>
      <c r="AW44" s="59"/>
      <c r="AX44" s="59"/>
      <c r="AY44" s="59"/>
      <c r="AZ44" s="59"/>
      <c r="BA44" s="59"/>
      <c r="BB44" s="59"/>
      <c r="BC44" s="69"/>
      <c r="BD44" s="68"/>
      <c r="BE44" s="56"/>
      <c r="BF44" s="55"/>
      <c r="BG44" s="73"/>
      <c r="BH44" s="53"/>
      <c r="BI44" s="5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c r="EN44" s="32"/>
      <c r="EO44" s="32"/>
      <c r="EP44" s="32"/>
      <c r="EQ44" s="32"/>
      <c r="ER44" s="32"/>
      <c r="ES44" s="32"/>
      <c r="ET44" s="32"/>
      <c r="EU44" s="32"/>
      <c r="EV44" s="32"/>
      <c r="EW44" s="32"/>
      <c r="EX44" s="32"/>
      <c r="EY44" s="32"/>
      <c r="EZ44" s="32"/>
      <c r="FA44" s="32"/>
      <c r="FB44" s="32"/>
      <c r="FC44" s="32"/>
      <c r="FD44" s="32"/>
      <c r="FE44" s="32"/>
      <c r="FF44" s="32"/>
      <c r="FG44" s="32"/>
      <c r="FH44" s="32"/>
      <c r="FI44" s="32"/>
      <c r="FJ44" s="32"/>
      <c r="FK44" s="32"/>
      <c r="FL44" s="32"/>
      <c r="FM44" s="32"/>
      <c r="FN44" s="32"/>
      <c r="FO44" s="32"/>
      <c r="FP44" s="32"/>
      <c r="FQ44" s="32"/>
      <c r="FR44" s="32"/>
      <c r="FS44" s="32"/>
      <c r="FT44" s="32"/>
      <c r="FU44" s="32"/>
      <c r="FV44" s="32"/>
      <c r="FW44" s="32"/>
      <c r="FX44" s="32"/>
      <c r="FY44" s="32"/>
      <c r="FZ44" s="32"/>
      <c r="GA44" s="32"/>
      <c r="GB44" s="51"/>
    </row>
    <row r="45" spans="1:184" s="31" customFormat="1" ht="19.5" customHeight="1">
      <c r="A45" s="74" t="s">
        <v>76</v>
      </c>
      <c r="B45" s="74" t="s">
        <v>153</v>
      </c>
      <c r="C45" s="107">
        <f t="shared" si="18"/>
        <v>163</v>
      </c>
      <c r="D45" s="107">
        <v>82</v>
      </c>
      <c r="E45" s="107">
        <v>81</v>
      </c>
      <c r="F45" s="107">
        <v>0</v>
      </c>
      <c r="G45" s="107">
        <v>0</v>
      </c>
      <c r="H45" s="107">
        <f t="shared" si="19"/>
        <v>163</v>
      </c>
      <c r="I45" s="107">
        <f t="shared" si="20"/>
        <v>150</v>
      </c>
      <c r="J45" s="107">
        <v>39</v>
      </c>
      <c r="K45" s="107">
        <v>0</v>
      </c>
      <c r="L45" s="107">
        <v>110</v>
      </c>
      <c r="M45" s="107">
        <v>1</v>
      </c>
      <c r="N45" s="107">
        <v>0</v>
      </c>
      <c r="O45" s="107">
        <v>0</v>
      </c>
      <c r="P45" s="109">
        <v>0</v>
      </c>
      <c r="Q45" s="261">
        <v>13</v>
      </c>
      <c r="R45" s="261">
        <f t="shared" si="22"/>
        <v>124</v>
      </c>
      <c r="S45" s="108">
        <f t="shared" si="16"/>
        <v>26</v>
      </c>
      <c r="T45" s="47"/>
      <c r="U45" s="67"/>
      <c r="V45" s="66"/>
      <c r="W45" s="47"/>
      <c r="X45" s="65"/>
      <c r="Y45" s="64"/>
      <c r="Z45" s="64"/>
      <c r="AA45" s="64"/>
      <c r="AB45" s="64"/>
      <c r="AC45" s="64"/>
      <c r="AD45" s="64"/>
      <c r="AE45" s="64"/>
      <c r="AF45" s="64"/>
      <c r="AG45" s="64"/>
      <c r="AH45" s="64"/>
      <c r="AI45" s="64"/>
      <c r="AJ45" s="64"/>
      <c r="AK45" s="64"/>
      <c r="AL45" s="64"/>
      <c r="AM45" s="63"/>
      <c r="AN45" s="62"/>
      <c r="AO45" s="60"/>
      <c r="AP45" s="59"/>
      <c r="AQ45" s="59"/>
      <c r="AR45" s="59"/>
      <c r="AS45" s="59"/>
      <c r="AT45" s="60"/>
      <c r="AU45" s="60"/>
      <c r="AV45" s="59"/>
      <c r="AW45" s="59"/>
      <c r="AX45" s="59"/>
      <c r="AY45" s="59"/>
      <c r="AZ45" s="59"/>
      <c r="BA45" s="59"/>
      <c r="BB45" s="59"/>
      <c r="BC45" s="69"/>
      <c r="BD45" s="68"/>
      <c r="BE45" s="56"/>
      <c r="BF45" s="55"/>
      <c r="BG45" s="73"/>
      <c r="BH45" s="53"/>
      <c r="BI45" s="5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c r="EI45" s="32"/>
      <c r="EJ45" s="32"/>
      <c r="EK45" s="32"/>
      <c r="EL45" s="32"/>
      <c r="EM45" s="32"/>
      <c r="EN45" s="32"/>
      <c r="EO45" s="32"/>
      <c r="EP45" s="32"/>
      <c r="EQ45" s="32"/>
      <c r="ER45" s="32"/>
      <c r="ES45" s="32"/>
      <c r="ET45" s="32"/>
      <c r="EU45" s="32"/>
      <c r="EV45" s="32"/>
      <c r="EW45" s="32"/>
      <c r="EX45" s="32"/>
      <c r="EY45" s="32"/>
      <c r="EZ45" s="32"/>
      <c r="FA45" s="32"/>
      <c r="FB45" s="32"/>
      <c r="FC45" s="32"/>
      <c r="FD45" s="32"/>
      <c r="FE45" s="32"/>
      <c r="FF45" s="32"/>
      <c r="FG45" s="32"/>
      <c r="FH45" s="32"/>
      <c r="FI45" s="32"/>
      <c r="FJ45" s="32"/>
      <c r="FK45" s="32"/>
      <c r="FL45" s="32"/>
      <c r="FM45" s="32"/>
      <c r="FN45" s="32"/>
      <c r="FO45" s="32"/>
      <c r="FP45" s="32"/>
      <c r="FQ45" s="32"/>
      <c r="FR45" s="32"/>
      <c r="FS45" s="32"/>
      <c r="FT45" s="32"/>
      <c r="FU45" s="32"/>
      <c r="FV45" s="32"/>
      <c r="FW45" s="32"/>
      <c r="FX45" s="32"/>
      <c r="FY45" s="32"/>
      <c r="FZ45" s="32"/>
      <c r="GA45" s="32"/>
      <c r="GB45" s="51"/>
    </row>
    <row r="46" spans="1:184" s="31" customFormat="1" ht="19.5" customHeight="1">
      <c r="A46" s="74" t="s">
        <v>77</v>
      </c>
      <c r="B46" s="74" t="s">
        <v>152</v>
      </c>
      <c r="C46" s="107">
        <f t="shared" si="18"/>
        <v>169</v>
      </c>
      <c r="D46" s="107">
        <v>97</v>
      </c>
      <c r="E46" s="107">
        <v>72</v>
      </c>
      <c r="F46" s="107">
        <v>2</v>
      </c>
      <c r="G46" s="107">
        <v>0</v>
      </c>
      <c r="H46" s="107">
        <f t="shared" si="19"/>
        <v>167</v>
      </c>
      <c r="I46" s="107">
        <f t="shared" si="20"/>
        <v>159</v>
      </c>
      <c r="J46" s="107">
        <v>47</v>
      </c>
      <c r="K46" s="107">
        <v>10</v>
      </c>
      <c r="L46" s="107">
        <v>90</v>
      </c>
      <c r="M46" s="107">
        <v>0</v>
      </c>
      <c r="N46" s="107">
        <v>0</v>
      </c>
      <c r="O46" s="107">
        <v>0</v>
      </c>
      <c r="P46" s="109">
        <v>12</v>
      </c>
      <c r="Q46" s="261">
        <v>8</v>
      </c>
      <c r="R46" s="261">
        <f t="shared" si="22"/>
        <v>110</v>
      </c>
      <c r="S46" s="108">
        <f t="shared" si="16"/>
        <v>35.84905660377358</v>
      </c>
      <c r="T46" s="47"/>
      <c r="U46" s="67"/>
      <c r="V46" s="66"/>
      <c r="W46" s="47"/>
      <c r="X46" s="65"/>
      <c r="Y46" s="64"/>
      <c r="Z46" s="64"/>
      <c r="AA46" s="64"/>
      <c r="AB46" s="64"/>
      <c r="AC46" s="64"/>
      <c r="AD46" s="64"/>
      <c r="AE46" s="64"/>
      <c r="AF46" s="64"/>
      <c r="AG46" s="64"/>
      <c r="AH46" s="64"/>
      <c r="AI46" s="64"/>
      <c r="AJ46" s="64"/>
      <c r="AK46" s="64"/>
      <c r="AL46" s="64"/>
      <c r="AM46" s="63"/>
      <c r="AN46" s="62"/>
      <c r="AO46" s="60"/>
      <c r="AP46" s="59"/>
      <c r="AQ46" s="59"/>
      <c r="AR46" s="59"/>
      <c r="AS46" s="59"/>
      <c r="AT46" s="60"/>
      <c r="AU46" s="60"/>
      <c r="AV46" s="59"/>
      <c r="AW46" s="59"/>
      <c r="AX46" s="59"/>
      <c r="AY46" s="59"/>
      <c r="AZ46" s="59"/>
      <c r="BA46" s="59"/>
      <c r="BB46" s="59"/>
      <c r="BC46" s="69"/>
      <c r="BD46" s="68"/>
      <c r="BE46" s="56"/>
      <c r="BF46" s="55"/>
      <c r="BG46" s="73"/>
      <c r="BH46" s="53"/>
      <c r="BI46" s="5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51"/>
    </row>
    <row r="47" spans="1:184" s="31" customFormat="1" ht="19.5" customHeight="1">
      <c r="A47" s="74" t="s">
        <v>78</v>
      </c>
      <c r="B47" s="74" t="s">
        <v>151</v>
      </c>
      <c r="C47" s="107">
        <f t="shared" si="18"/>
        <v>153</v>
      </c>
      <c r="D47" s="107">
        <v>59</v>
      </c>
      <c r="E47" s="107">
        <v>94</v>
      </c>
      <c r="F47" s="107">
        <v>9</v>
      </c>
      <c r="G47" s="107">
        <v>0</v>
      </c>
      <c r="H47" s="107">
        <f t="shared" si="19"/>
        <v>144</v>
      </c>
      <c r="I47" s="107">
        <f t="shared" si="20"/>
        <v>120</v>
      </c>
      <c r="J47" s="107">
        <v>37</v>
      </c>
      <c r="K47" s="107">
        <v>5</v>
      </c>
      <c r="L47" s="107">
        <v>78</v>
      </c>
      <c r="M47" s="107">
        <v>0</v>
      </c>
      <c r="N47" s="107">
        <v>0</v>
      </c>
      <c r="O47" s="107">
        <v>0</v>
      </c>
      <c r="P47" s="109">
        <v>0</v>
      </c>
      <c r="Q47" s="261">
        <v>24</v>
      </c>
      <c r="R47" s="261">
        <f t="shared" si="22"/>
        <v>102</v>
      </c>
      <c r="S47" s="108">
        <f t="shared" si="16"/>
        <v>35</v>
      </c>
      <c r="T47" s="47"/>
      <c r="U47" s="67"/>
      <c r="V47" s="66"/>
      <c r="W47" s="47"/>
      <c r="X47" s="65"/>
      <c r="Y47" s="64"/>
      <c r="Z47" s="64"/>
      <c r="AA47" s="64"/>
      <c r="AB47" s="64"/>
      <c r="AC47" s="64"/>
      <c r="AD47" s="64"/>
      <c r="AE47" s="64"/>
      <c r="AF47" s="64"/>
      <c r="AG47" s="64"/>
      <c r="AH47" s="64"/>
      <c r="AI47" s="64"/>
      <c r="AJ47" s="64"/>
      <c r="AK47" s="64"/>
      <c r="AL47" s="64"/>
      <c r="AM47" s="63"/>
      <c r="AN47" s="62"/>
      <c r="AO47" s="60"/>
      <c r="AP47" s="59"/>
      <c r="AQ47" s="59"/>
      <c r="AR47" s="59"/>
      <c r="AS47" s="59"/>
      <c r="AT47" s="60"/>
      <c r="AU47" s="60"/>
      <c r="AV47" s="59"/>
      <c r="AW47" s="59"/>
      <c r="AX47" s="59"/>
      <c r="AY47" s="59"/>
      <c r="AZ47" s="59"/>
      <c r="BA47" s="59"/>
      <c r="BB47" s="59"/>
      <c r="BC47" s="69"/>
      <c r="BD47" s="68"/>
      <c r="BE47" s="56"/>
      <c r="BF47" s="55"/>
      <c r="BG47" s="73"/>
      <c r="BH47" s="53"/>
      <c r="BI47" s="5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c r="EI47" s="32"/>
      <c r="EJ47" s="32"/>
      <c r="EK47" s="32"/>
      <c r="EL47" s="32"/>
      <c r="EM47" s="32"/>
      <c r="EN47" s="32"/>
      <c r="EO47" s="32"/>
      <c r="EP47" s="32"/>
      <c r="EQ47" s="32"/>
      <c r="ER47" s="32"/>
      <c r="ES47" s="32"/>
      <c r="ET47" s="32"/>
      <c r="EU47" s="32"/>
      <c r="EV47" s="32"/>
      <c r="EW47" s="32"/>
      <c r="EX47" s="32"/>
      <c r="EY47" s="32"/>
      <c r="EZ47" s="32"/>
      <c r="FA47" s="32"/>
      <c r="FB47" s="32"/>
      <c r="FC47" s="32"/>
      <c r="FD47" s="32"/>
      <c r="FE47" s="32"/>
      <c r="FF47" s="32"/>
      <c r="FG47" s="32"/>
      <c r="FH47" s="32"/>
      <c r="FI47" s="32"/>
      <c r="FJ47" s="32"/>
      <c r="FK47" s="32"/>
      <c r="FL47" s="32"/>
      <c r="FM47" s="32"/>
      <c r="FN47" s="32"/>
      <c r="FO47" s="32"/>
      <c r="FP47" s="32"/>
      <c r="FQ47" s="32"/>
      <c r="FR47" s="32"/>
      <c r="FS47" s="32"/>
      <c r="FT47" s="32"/>
      <c r="FU47" s="32"/>
      <c r="FV47" s="32"/>
      <c r="FW47" s="32"/>
      <c r="FX47" s="32"/>
      <c r="FY47" s="32"/>
      <c r="FZ47" s="32"/>
      <c r="GA47" s="32"/>
      <c r="GB47" s="51"/>
    </row>
    <row r="48" spans="1:184" s="31" customFormat="1" ht="19.5" customHeight="1">
      <c r="A48" s="254" t="s">
        <v>40</v>
      </c>
      <c r="B48" s="254" t="s">
        <v>150</v>
      </c>
      <c r="C48" s="107">
        <f t="shared" si="18"/>
        <v>649</v>
      </c>
      <c r="D48" s="107">
        <f>SUM(D49:D53)</f>
        <v>325</v>
      </c>
      <c r="E48" s="107">
        <f>SUM(E49:E53)</f>
        <v>324</v>
      </c>
      <c r="F48" s="107">
        <f>SUM(F49:F53)</f>
        <v>4</v>
      </c>
      <c r="G48" s="107">
        <f>SUM(G49:G53)</f>
        <v>0</v>
      </c>
      <c r="H48" s="107">
        <f t="shared" si="19"/>
        <v>645</v>
      </c>
      <c r="I48" s="107">
        <f t="shared" si="20"/>
        <v>531</v>
      </c>
      <c r="J48" s="107">
        <f aca="true" t="shared" si="23" ref="J48:Q48">SUM(J49:J53)</f>
        <v>251</v>
      </c>
      <c r="K48" s="107">
        <f t="shared" si="23"/>
        <v>5</v>
      </c>
      <c r="L48" s="107">
        <f t="shared" si="23"/>
        <v>265</v>
      </c>
      <c r="M48" s="107">
        <f t="shared" si="23"/>
        <v>10</v>
      </c>
      <c r="N48" s="107">
        <f t="shared" si="23"/>
        <v>0</v>
      </c>
      <c r="O48" s="107">
        <f t="shared" si="23"/>
        <v>0</v>
      </c>
      <c r="P48" s="107">
        <f t="shared" si="23"/>
        <v>0</v>
      </c>
      <c r="Q48" s="107">
        <f t="shared" si="23"/>
        <v>114</v>
      </c>
      <c r="R48" s="261">
        <f t="shared" si="22"/>
        <v>389</v>
      </c>
      <c r="S48" s="108">
        <f t="shared" si="16"/>
        <v>48.21092278719397</v>
      </c>
      <c r="T48" s="47"/>
      <c r="U48" s="67"/>
      <c r="V48" s="66"/>
      <c r="W48" s="47"/>
      <c r="X48" s="65"/>
      <c r="Y48" s="64"/>
      <c r="Z48" s="64"/>
      <c r="AA48" s="64"/>
      <c r="AB48" s="64"/>
      <c r="AC48" s="64"/>
      <c r="AD48" s="64"/>
      <c r="AE48" s="64"/>
      <c r="AF48" s="64"/>
      <c r="AG48" s="64"/>
      <c r="AH48" s="64"/>
      <c r="AI48" s="64"/>
      <c r="AJ48" s="64"/>
      <c r="AK48" s="64"/>
      <c r="AL48" s="64"/>
      <c r="AM48" s="72"/>
      <c r="AN48" s="71"/>
      <c r="AO48" s="60"/>
      <c r="AP48" s="60"/>
      <c r="AQ48" s="60"/>
      <c r="AR48" s="60"/>
      <c r="AS48" s="60"/>
      <c r="AT48" s="60"/>
      <c r="AU48" s="60"/>
      <c r="AV48" s="60"/>
      <c r="AW48" s="60"/>
      <c r="AX48" s="60"/>
      <c r="AY48" s="60"/>
      <c r="AZ48" s="60"/>
      <c r="BA48" s="60"/>
      <c r="BB48" s="60"/>
      <c r="BC48" s="60"/>
      <c r="BD48" s="60"/>
      <c r="BE48" s="56"/>
      <c r="BF48" s="55"/>
      <c r="BG48" s="73"/>
      <c r="BH48" s="53"/>
      <c r="BI48" s="5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c r="DV48" s="32"/>
      <c r="DW48" s="32"/>
      <c r="DX48" s="32"/>
      <c r="DY48" s="32"/>
      <c r="DZ48" s="32"/>
      <c r="EA48" s="32"/>
      <c r="EB48" s="32"/>
      <c r="EC48" s="32"/>
      <c r="ED48" s="32"/>
      <c r="EE48" s="32"/>
      <c r="EF48" s="32"/>
      <c r="EG48" s="32"/>
      <c r="EH48" s="32"/>
      <c r="EI48" s="32"/>
      <c r="EJ48" s="32"/>
      <c r="EK48" s="32"/>
      <c r="EL48" s="32"/>
      <c r="EM48" s="32"/>
      <c r="EN48" s="32"/>
      <c r="EO48" s="32"/>
      <c r="EP48" s="32"/>
      <c r="EQ48" s="32"/>
      <c r="ER48" s="32"/>
      <c r="ES48" s="32"/>
      <c r="ET48" s="32"/>
      <c r="EU48" s="32"/>
      <c r="EV48" s="32"/>
      <c r="EW48" s="32"/>
      <c r="EX48" s="32"/>
      <c r="EY48" s="32"/>
      <c r="EZ48" s="32"/>
      <c r="FA48" s="32"/>
      <c r="FB48" s="32"/>
      <c r="FC48" s="32"/>
      <c r="FD48" s="32"/>
      <c r="FE48" s="32"/>
      <c r="FF48" s="32"/>
      <c r="FG48" s="32"/>
      <c r="FH48" s="32"/>
      <c r="FI48" s="32"/>
      <c r="FJ48" s="32"/>
      <c r="FK48" s="32"/>
      <c r="FL48" s="32"/>
      <c r="FM48" s="32"/>
      <c r="FN48" s="32"/>
      <c r="FO48" s="32"/>
      <c r="FP48" s="32"/>
      <c r="FQ48" s="32"/>
      <c r="FR48" s="32"/>
      <c r="FS48" s="32"/>
      <c r="FT48" s="32"/>
      <c r="FU48" s="32"/>
      <c r="FV48" s="32"/>
      <c r="FW48" s="32"/>
      <c r="FX48" s="32"/>
      <c r="FY48" s="32"/>
      <c r="FZ48" s="32"/>
      <c r="GA48" s="32"/>
      <c r="GB48" s="51"/>
    </row>
    <row r="49" spans="1:184" s="31" customFormat="1" ht="19.5" customHeight="1">
      <c r="A49" s="74" t="s">
        <v>79</v>
      </c>
      <c r="B49" s="262" t="s">
        <v>149</v>
      </c>
      <c r="C49" s="107">
        <f t="shared" si="18"/>
        <v>143</v>
      </c>
      <c r="D49" s="107">
        <v>20</v>
      </c>
      <c r="E49" s="263">
        <v>123</v>
      </c>
      <c r="F49" s="263">
        <v>1</v>
      </c>
      <c r="G49" s="263">
        <v>0</v>
      </c>
      <c r="H49" s="107">
        <f t="shared" si="19"/>
        <v>142</v>
      </c>
      <c r="I49" s="107">
        <f t="shared" si="20"/>
        <v>139</v>
      </c>
      <c r="J49" s="107">
        <v>107</v>
      </c>
      <c r="K49" s="107">
        <v>1</v>
      </c>
      <c r="L49" s="107">
        <v>31</v>
      </c>
      <c r="M49" s="107">
        <v>0</v>
      </c>
      <c r="N49" s="107">
        <v>0</v>
      </c>
      <c r="O49" s="107">
        <v>0</v>
      </c>
      <c r="P49" s="107">
        <v>0</v>
      </c>
      <c r="Q49" s="107">
        <v>3</v>
      </c>
      <c r="R49" s="261">
        <f t="shared" si="22"/>
        <v>34</v>
      </c>
      <c r="S49" s="108">
        <f t="shared" si="16"/>
        <v>77.6978417266187</v>
      </c>
      <c r="T49" s="47"/>
      <c r="U49" s="67"/>
      <c r="V49" s="66"/>
      <c r="W49" s="47"/>
      <c r="X49" s="65"/>
      <c r="Y49" s="64"/>
      <c r="Z49" s="64"/>
      <c r="AA49" s="64"/>
      <c r="AB49" s="64"/>
      <c r="AC49" s="64"/>
      <c r="AD49" s="64"/>
      <c r="AE49" s="64"/>
      <c r="AF49" s="64"/>
      <c r="AG49" s="64"/>
      <c r="AH49" s="64"/>
      <c r="AI49" s="64"/>
      <c r="AJ49" s="64"/>
      <c r="AK49" s="64"/>
      <c r="AL49" s="64"/>
      <c r="AM49" s="63"/>
      <c r="AN49" s="62"/>
      <c r="AO49" s="60"/>
      <c r="AP49" s="59"/>
      <c r="AQ49" s="59"/>
      <c r="AR49" s="59"/>
      <c r="AS49" s="59"/>
      <c r="AT49" s="60"/>
      <c r="AU49" s="60"/>
      <c r="AV49" s="59"/>
      <c r="AW49" s="59"/>
      <c r="AX49" s="59"/>
      <c r="AY49" s="59"/>
      <c r="AZ49" s="59"/>
      <c r="BA49" s="59"/>
      <c r="BB49" s="59"/>
      <c r="BC49" s="69"/>
      <c r="BD49" s="68"/>
      <c r="BE49" s="56"/>
      <c r="BF49" s="55"/>
      <c r="BG49" s="73"/>
      <c r="BH49" s="53"/>
      <c r="BI49" s="5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c r="DV49" s="32"/>
      <c r="DW49" s="32"/>
      <c r="DX49" s="32"/>
      <c r="DY49" s="32"/>
      <c r="DZ49" s="32"/>
      <c r="EA49" s="32"/>
      <c r="EB49" s="32"/>
      <c r="EC49" s="32"/>
      <c r="ED49" s="32"/>
      <c r="EE49" s="32"/>
      <c r="EF49" s="32"/>
      <c r="EG49" s="32"/>
      <c r="EH49" s="32"/>
      <c r="EI49" s="32"/>
      <c r="EJ49" s="32"/>
      <c r="EK49" s="32"/>
      <c r="EL49" s="32"/>
      <c r="EM49" s="32"/>
      <c r="EN49" s="32"/>
      <c r="EO49" s="32"/>
      <c r="EP49" s="32"/>
      <c r="EQ49" s="32"/>
      <c r="ER49" s="32"/>
      <c r="ES49" s="32"/>
      <c r="ET49" s="32"/>
      <c r="EU49" s="32"/>
      <c r="EV49" s="32"/>
      <c r="EW49" s="32"/>
      <c r="EX49" s="32"/>
      <c r="EY49" s="32"/>
      <c r="EZ49" s="32"/>
      <c r="FA49" s="32"/>
      <c r="FB49" s="32"/>
      <c r="FC49" s="32"/>
      <c r="FD49" s="32"/>
      <c r="FE49" s="32"/>
      <c r="FF49" s="32"/>
      <c r="FG49" s="32"/>
      <c r="FH49" s="32"/>
      <c r="FI49" s="32"/>
      <c r="FJ49" s="32"/>
      <c r="FK49" s="32"/>
      <c r="FL49" s="32"/>
      <c r="FM49" s="32"/>
      <c r="FN49" s="32"/>
      <c r="FO49" s="32"/>
      <c r="FP49" s="32"/>
      <c r="FQ49" s="32"/>
      <c r="FR49" s="32"/>
      <c r="FS49" s="32"/>
      <c r="FT49" s="32"/>
      <c r="FU49" s="32"/>
      <c r="FV49" s="32"/>
      <c r="FW49" s="32"/>
      <c r="FX49" s="32"/>
      <c r="FY49" s="32"/>
      <c r="FZ49" s="32"/>
      <c r="GA49" s="32"/>
      <c r="GB49" s="51"/>
    </row>
    <row r="50" spans="1:184" s="31" customFormat="1" ht="19.5" customHeight="1">
      <c r="A50" s="74" t="s">
        <v>80</v>
      </c>
      <c r="B50" s="264" t="s">
        <v>148</v>
      </c>
      <c r="C50" s="107">
        <f t="shared" si="18"/>
        <v>110</v>
      </c>
      <c r="D50" s="107">
        <v>57</v>
      </c>
      <c r="E50" s="263">
        <v>53</v>
      </c>
      <c r="F50" s="263">
        <v>0</v>
      </c>
      <c r="G50" s="263">
        <v>0</v>
      </c>
      <c r="H50" s="107">
        <f t="shared" si="19"/>
        <v>110</v>
      </c>
      <c r="I50" s="107">
        <f t="shared" si="20"/>
        <v>79</v>
      </c>
      <c r="J50" s="107">
        <v>42</v>
      </c>
      <c r="K50" s="107">
        <v>2</v>
      </c>
      <c r="L50" s="107">
        <v>35</v>
      </c>
      <c r="M50" s="107">
        <v>0</v>
      </c>
      <c r="N50" s="107">
        <v>0</v>
      </c>
      <c r="O50" s="107">
        <v>0</v>
      </c>
      <c r="P50" s="107">
        <v>0</v>
      </c>
      <c r="Q50" s="107">
        <v>31</v>
      </c>
      <c r="R50" s="261">
        <f t="shared" si="22"/>
        <v>66</v>
      </c>
      <c r="S50" s="108">
        <f t="shared" si="16"/>
        <v>55.69620253164557</v>
      </c>
      <c r="T50" s="47"/>
      <c r="U50" s="67"/>
      <c r="V50" s="66"/>
      <c r="W50" s="47"/>
      <c r="X50" s="65"/>
      <c r="Y50" s="64"/>
      <c r="Z50" s="64"/>
      <c r="AA50" s="64"/>
      <c r="AB50" s="64"/>
      <c r="AC50" s="64"/>
      <c r="AD50" s="64"/>
      <c r="AE50" s="64"/>
      <c r="AF50" s="64"/>
      <c r="AG50" s="64"/>
      <c r="AH50" s="64"/>
      <c r="AI50" s="64"/>
      <c r="AJ50" s="64"/>
      <c r="AK50" s="64"/>
      <c r="AL50" s="64"/>
      <c r="AM50" s="63"/>
      <c r="AN50" s="62"/>
      <c r="AO50" s="60"/>
      <c r="AP50" s="59"/>
      <c r="AQ50" s="59"/>
      <c r="AR50" s="59"/>
      <c r="AS50" s="59"/>
      <c r="AT50" s="60"/>
      <c r="AU50" s="60"/>
      <c r="AV50" s="59"/>
      <c r="AW50" s="59"/>
      <c r="AX50" s="59"/>
      <c r="AY50" s="59"/>
      <c r="AZ50" s="59"/>
      <c r="BA50" s="59"/>
      <c r="BB50" s="59"/>
      <c r="BC50" s="69"/>
      <c r="BD50" s="68"/>
      <c r="BE50" s="56"/>
      <c r="BF50" s="55"/>
      <c r="BG50" s="73"/>
      <c r="BH50" s="53"/>
      <c r="BI50" s="5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2"/>
      <c r="DY50" s="32"/>
      <c r="DZ50" s="32"/>
      <c r="EA50" s="32"/>
      <c r="EB50" s="32"/>
      <c r="EC50" s="32"/>
      <c r="ED50" s="32"/>
      <c r="EE50" s="32"/>
      <c r="EF50" s="32"/>
      <c r="EG50" s="32"/>
      <c r="EH50" s="32"/>
      <c r="EI50" s="32"/>
      <c r="EJ50" s="32"/>
      <c r="EK50" s="32"/>
      <c r="EL50" s="32"/>
      <c r="EM50" s="32"/>
      <c r="EN50" s="32"/>
      <c r="EO50" s="32"/>
      <c r="EP50" s="32"/>
      <c r="EQ50" s="32"/>
      <c r="ER50" s="32"/>
      <c r="ES50" s="32"/>
      <c r="ET50" s="32"/>
      <c r="EU50" s="32"/>
      <c r="EV50" s="32"/>
      <c r="EW50" s="32"/>
      <c r="EX50" s="32"/>
      <c r="EY50" s="32"/>
      <c r="EZ50" s="32"/>
      <c r="FA50" s="32"/>
      <c r="FB50" s="32"/>
      <c r="FC50" s="32"/>
      <c r="FD50" s="32"/>
      <c r="FE50" s="32"/>
      <c r="FF50" s="32"/>
      <c r="FG50" s="32"/>
      <c r="FH50" s="32"/>
      <c r="FI50" s="32"/>
      <c r="FJ50" s="32"/>
      <c r="FK50" s="32"/>
      <c r="FL50" s="32"/>
      <c r="FM50" s="32"/>
      <c r="FN50" s="32"/>
      <c r="FO50" s="32"/>
      <c r="FP50" s="32"/>
      <c r="FQ50" s="32"/>
      <c r="FR50" s="32"/>
      <c r="FS50" s="32"/>
      <c r="FT50" s="32"/>
      <c r="FU50" s="32"/>
      <c r="FV50" s="32"/>
      <c r="FW50" s="32"/>
      <c r="FX50" s="32"/>
      <c r="FY50" s="32"/>
      <c r="FZ50" s="32"/>
      <c r="GA50" s="32"/>
      <c r="GB50" s="51"/>
    </row>
    <row r="51" spans="1:184" s="31" customFormat="1" ht="19.5" customHeight="1">
      <c r="A51" s="74" t="s">
        <v>81</v>
      </c>
      <c r="B51" s="265" t="s">
        <v>147</v>
      </c>
      <c r="C51" s="107">
        <f t="shared" si="18"/>
        <v>127</v>
      </c>
      <c r="D51" s="107">
        <v>75</v>
      </c>
      <c r="E51" s="263">
        <v>52</v>
      </c>
      <c r="F51" s="263">
        <v>1</v>
      </c>
      <c r="G51" s="263">
        <v>0</v>
      </c>
      <c r="H51" s="107">
        <f t="shared" si="19"/>
        <v>126</v>
      </c>
      <c r="I51" s="107">
        <f t="shared" si="20"/>
        <v>67</v>
      </c>
      <c r="J51" s="107">
        <v>21</v>
      </c>
      <c r="K51" s="107">
        <v>1</v>
      </c>
      <c r="L51" s="107">
        <v>41</v>
      </c>
      <c r="M51" s="107">
        <v>4</v>
      </c>
      <c r="N51" s="107">
        <v>0</v>
      </c>
      <c r="O51" s="107">
        <v>0</v>
      </c>
      <c r="P51" s="107">
        <v>0</v>
      </c>
      <c r="Q51" s="107">
        <v>59</v>
      </c>
      <c r="R51" s="261">
        <f t="shared" si="22"/>
        <v>104</v>
      </c>
      <c r="S51" s="108">
        <f t="shared" si="16"/>
        <v>32.83582089552239</v>
      </c>
      <c r="T51" s="47"/>
      <c r="U51" s="67"/>
      <c r="V51" s="66"/>
      <c r="W51" s="47"/>
      <c r="X51" s="65"/>
      <c r="Y51" s="64"/>
      <c r="Z51" s="64"/>
      <c r="AA51" s="64"/>
      <c r="AB51" s="64"/>
      <c r="AC51" s="64"/>
      <c r="AD51" s="64"/>
      <c r="AE51" s="64"/>
      <c r="AF51" s="64"/>
      <c r="AG51" s="64"/>
      <c r="AH51" s="64"/>
      <c r="AI51" s="64"/>
      <c r="AJ51" s="64"/>
      <c r="AK51" s="64"/>
      <c r="AL51" s="64"/>
      <c r="AM51" s="63"/>
      <c r="AN51" s="62"/>
      <c r="AO51" s="60"/>
      <c r="AP51" s="59"/>
      <c r="AQ51" s="59"/>
      <c r="AR51" s="59"/>
      <c r="AS51" s="59"/>
      <c r="AT51" s="60"/>
      <c r="AU51" s="60"/>
      <c r="AV51" s="59"/>
      <c r="AW51" s="59"/>
      <c r="AX51" s="59"/>
      <c r="AY51" s="59"/>
      <c r="AZ51" s="59"/>
      <c r="BA51" s="59"/>
      <c r="BB51" s="59"/>
      <c r="BC51" s="69"/>
      <c r="BD51" s="68"/>
      <c r="BE51" s="56"/>
      <c r="BF51" s="55"/>
      <c r="BG51" s="73"/>
      <c r="BH51" s="53"/>
      <c r="BI51" s="5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32"/>
      <c r="EE51" s="32"/>
      <c r="EF51" s="32"/>
      <c r="EG51" s="32"/>
      <c r="EH51" s="32"/>
      <c r="EI51" s="32"/>
      <c r="EJ51" s="32"/>
      <c r="EK51" s="32"/>
      <c r="EL51" s="32"/>
      <c r="EM51" s="32"/>
      <c r="EN51" s="32"/>
      <c r="EO51" s="32"/>
      <c r="EP51" s="32"/>
      <c r="EQ51" s="32"/>
      <c r="ER51" s="32"/>
      <c r="ES51" s="32"/>
      <c r="ET51" s="32"/>
      <c r="EU51" s="32"/>
      <c r="EV51" s="32"/>
      <c r="EW51" s="32"/>
      <c r="EX51" s="32"/>
      <c r="EY51" s="32"/>
      <c r="EZ51" s="32"/>
      <c r="FA51" s="32"/>
      <c r="FB51" s="32"/>
      <c r="FC51" s="32"/>
      <c r="FD51" s="32"/>
      <c r="FE51" s="32"/>
      <c r="FF51" s="32"/>
      <c r="FG51" s="32"/>
      <c r="FH51" s="32"/>
      <c r="FI51" s="32"/>
      <c r="FJ51" s="32"/>
      <c r="FK51" s="32"/>
      <c r="FL51" s="32"/>
      <c r="FM51" s="32"/>
      <c r="FN51" s="32"/>
      <c r="FO51" s="32"/>
      <c r="FP51" s="32"/>
      <c r="FQ51" s="32"/>
      <c r="FR51" s="32"/>
      <c r="FS51" s="32"/>
      <c r="FT51" s="32"/>
      <c r="FU51" s="32"/>
      <c r="FV51" s="32"/>
      <c r="FW51" s="32"/>
      <c r="FX51" s="32"/>
      <c r="FY51" s="32"/>
      <c r="FZ51" s="32"/>
      <c r="GA51" s="32"/>
      <c r="GB51" s="51"/>
    </row>
    <row r="52" spans="1:184" s="31" customFormat="1" ht="19.5" customHeight="1">
      <c r="A52" s="74" t="s">
        <v>146</v>
      </c>
      <c r="B52" s="264" t="s">
        <v>145</v>
      </c>
      <c r="C52" s="107">
        <f t="shared" si="18"/>
        <v>88</v>
      </c>
      <c r="D52" s="107">
        <v>43</v>
      </c>
      <c r="E52" s="263">
        <v>45</v>
      </c>
      <c r="F52" s="263">
        <v>1</v>
      </c>
      <c r="G52" s="263">
        <v>0</v>
      </c>
      <c r="H52" s="107">
        <f t="shared" si="19"/>
        <v>87</v>
      </c>
      <c r="I52" s="107">
        <f t="shared" si="20"/>
        <v>78</v>
      </c>
      <c r="J52" s="107">
        <v>40</v>
      </c>
      <c r="K52" s="107">
        <v>0</v>
      </c>
      <c r="L52" s="107">
        <v>38</v>
      </c>
      <c r="M52" s="107">
        <v>0</v>
      </c>
      <c r="N52" s="107">
        <v>0</v>
      </c>
      <c r="O52" s="107">
        <v>0</v>
      </c>
      <c r="P52" s="107">
        <v>0</v>
      </c>
      <c r="Q52" s="107">
        <v>9</v>
      </c>
      <c r="R52" s="261">
        <f t="shared" si="22"/>
        <v>47</v>
      </c>
      <c r="S52" s="108">
        <f t="shared" si="16"/>
        <v>51.28205128205128</v>
      </c>
      <c r="T52" s="47"/>
      <c r="U52" s="67"/>
      <c r="V52" s="66"/>
      <c r="W52" s="47"/>
      <c r="X52" s="65"/>
      <c r="Y52" s="64"/>
      <c r="Z52" s="64"/>
      <c r="AA52" s="64"/>
      <c r="AB52" s="64"/>
      <c r="AC52" s="64"/>
      <c r="AD52" s="64"/>
      <c r="AE52" s="64"/>
      <c r="AF52" s="64"/>
      <c r="AG52" s="64"/>
      <c r="AH52" s="64"/>
      <c r="AI52" s="64"/>
      <c r="AJ52" s="64"/>
      <c r="AK52" s="64"/>
      <c r="AL52" s="64"/>
      <c r="AM52" s="63"/>
      <c r="AN52" s="62"/>
      <c r="AO52" s="60"/>
      <c r="AP52" s="59"/>
      <c r="AQ52" s="59"/>
      <c r="AR52" s="59"/>
      <c r="AS52" s="59"/>
      <c r="AT52" s="60"/>
      <c r="AU52" s="60"/>
      <c r="AV52" s="59"/>
      <c r="AW52" s="59"/>
      <c r="AX52" s="59"/>
      <c r="AY52" s="59"/>
      <c r="AZ52" s="59"/>
      <c r="BA52" s="59"/>
      <c r="BB52" s="59"/>
      <c r="BC52" s="69"/>
      <c r="BD52" s="68"/>
      <c r="BE52" s="56"/>
      <c r="BF52" s="55"/>
      <c r="BG52" s="73"/>
      <c r="BH52" s="53"/>
      <c r="BI52" s="5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32"/>
      <c r="EE52" s="32"/>
      <c r="EF52" s="32"/>
      <c r="EG52" s="32"/>
      <c r="EH52" s="32"/>
      <c r="EI52" s="32"/>
      <c r="EJ52" s="32"/>
      <c r="EK52" s="32"/>
      <c r="EL52" s="32"/>
      <c r="EM52" s="32"/>
      <c r="EN52" s="32"/>
      <c r="EO52" s="32"/>
      <c r="EP52" s="32"/>
      <c r="EQ52" s="32"/>
      <c r="ER52" s="32"/>
      <c r="ES52" s="32"/>
      <c r="ET52" s="32"/>
      <c r="EU52" s="32"/>
      <c r="EV52" s="32"/>
      <c r="EW52" s="32"/>
      <c r="EX52" s="32"/>
      <c r="EY52" s="32"/>
      <c r="EZ52" s="32"/>
      <c r="FA52" s="32"/>
      <c r="FB52" s="32"/>
      <c r="FC52" s="32"/>
      <c r="FD52" s="32"/>
      <c r="FE52" s="32"/>
      <c r="FF52" s="32"/>
      <c r="FG52" s="32"/>
      <c r="FH52" s="32"/>
      <c r="FI52" s="32"/>
      <c r="FJ52" s="32"/>
      <c r="FK52" s="32"/>
      <c r="FL52" s="32"/>
      <c r="FM52" s="32"/>
      <c r="FN52" s="32"/>
      <c r="FO52" s="32"/>
      <c r="FP52" s="32"/>
      <c r="FQ52" s="32"/>
      <c r="FR52" s="32"/>
      <c r="FS52" s="32"/>
      <c r="FT52" s="32"/>
      <c r="FU52" s="32"/>
      <c r="FV52" s="32"/>
      <c r="FW52" s="32"/>
      <c r="FX52" s="32"/>
      <c r="FY52" s="32"/>
      <c r="FZ52" s="32"/>
      <c r="GA52" s="32"/>
      <c r="GB52" s="51"/>
    </row>
    <row r="53" spans="1:184" s="31" customFormat="1" ht="19.5" customHeight="1">
      <c r="A53" s="74" t="s">
        <v>144</v>
      </c>
      <c r="B53" s="265" t="s">
        <v>143</v>
      </c>
      <c r="C53" s="107">
        <f t="shared" si="18"/>
        <v>181</v>
      </c>
      <c r="D53" s="107">
        <v>130</v>
      </c>
      <c r="E53" s="263">
        <v>51</v>
      </c>
      <c r="F53" s="263">
        <v>1</v>
      </c>
      <c r="G53" s="263">
        <v>0</v>
      </c>
      <c r="H53" s="107">
        <f t="shared" si="19"/>
        <v>180</v>
      </c>
      <c r="I53" s="107">
        <f t="shared" si="20"/>
        <v>168</v>
      </c>
      <c r="J53" s="107">
        <v>41</v>
      </c>
      <c r="K53" s="107">
        <v>1</v>
      </c>
      <c r="L53" s="107">
        <v>120</v>
      </c>
      <c r="M53" s="107">
        <v>6</v>
      </c>
      <c r="N53" s="107">
        <v>0</v>
      </c>
      <c r="O53" s="107">
        <v>0</v>
      </c>
      <c r="P53" s="107">
        <v>0</v>
      </c>
      <c r="Q53" s="107">
        <v>12</v>
      </c>
      <c r="R53" s="261">
        <f t="shared" si="22"/>
        <v>138</v>
      </c>
      <c r="S53" s="108">
        <f t="shared" si="16"/>
        <v>25</v>
      </c>
      <c r="T53" s="47"/>
      <c r="U53" s="67"/>
      <c r="V53" s="66"/>
      <c r="W53" s="47"/>
      <c r="X53" s="65"/>
      <c r="Y53" s="64"/>
      <c r="Z53" s="64"/>
      <c r="AA53" s="64"/>
      <c r="AB53" s="64"/>
      <c r="AC53" s="64"/>
      <c r="AD53" s="64"/>
      <c r="AE53" s="64"/>
      <c r="AF53" s="64"/>
      <c r="AG53" s="64"/>
      <c r="AH53" s="64"/>
      <c r="AI53" s="64"/>
      <c r="AJ53" s="64"/>
      <c r="AK53" s="64"/>
      <c r="AL53" s="64"/>
      <c r="AM53" s="63"/>
      <c r="AN53" s="62"/>
      <c r="AO53" s="60"/>
      <c r="AP53" s="59"/>
      <c r="AQ53" s="59"/>
      <c r="AR53" s="59"/>
      <c r="AS53" s="59"/>
      <c r="AT53" s="60"/>
      <c r="AU53" s="60"/>
      <c r="AV53" s="59"/>
      <c r="AW53" s="59"/>
      <c r="AX53" s="59"/>
      <c r="AY53" s="59"/>
      <c r="AZ53" s="59"/>
      <c r="BA53" s="59"/>
      <c r="BB53" s="59"/>
      <c r="BC53" s="69"/>
      <c r="BD53" s="68"/>
      <c r="BE53" s="56"/>
      <c r="BF53" s="55"/>
      <c r="BG53" s="73"/>
      <c r="BH53" s="53"/>
      <c r="BI53" s="5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c r="EC53" s="32"/>
      <c r="ED53" s="32"/>
      <c r="EE53" s="32"/>
      <c r="EF53" s="32"/>
      <c r="EG53" s="32"/>
      <c r="EH53" s="32"/>
      <c r="EI53" s="32"/>
      <c r="EJ53" s="32"/>
      <c r="EK53" s="32"/>
      <c r="EL53" s="32"/>
      <c r="EM53" s="32"/>
      <c r="EN53" s="32"/>
      <c r="EO53" s="32"/>
      <c r="EP53" s="32"/>
      <c r="EQ53" s="32"/>
      <c r="ER53" s="32"/>
      <c r="ES53" s="32"/>
      <c r="ET53" s="32"/>
      <c r="EU53" s="32"/>
      <c r="EV53" s="32"/>
      <c r="EW53" s="32"/>
      <c r="EX53" s="32"/>
      <c r="EY53" s="32"/>
      <c r="EZ53" s="32"/>
      <c r="FA53" s="32"/>
      <c r="FB53" s="32"/>
      <c r="FC53" s="32"/>
      <c r="FD53" s="32"/>
      <c r="FE53" s="32"/>
      <c r="FF53" s="32"/>
      <c r="FG53" s="32"/>
      <c r="FH53" s="32"/>
      <c r="FI53" s="32"/>
      <c r="FJ53" s="32"/>
      <c r="FK53" s="32"/>
      <c r="FL53" s="32"/>
      <c r="FM53" s="32"/>
      <c r="FN53" s="32"/>
      <c r="FO53" s="32"/>
      <c r="FP53" s="32"/>
      <c r="FQ53" s="32"/>
      <c r="FR53" s="32"/>
      <c r="FS53" s="32"/>
      <c r="FT53" s="32"/>
      <c r="FU53" s="32"/>
      <c r="FV53" s="32"/>
      <c r="FW53" s="32"/>
      <c r="FX53" s="32"/>
      <c r="FY53" s="32"/>
      <c r="FZ53" s="32"/>
      <c r="GA53" s="32"/>
      <c r="GB53" s="51"/>
    </row>
    <row r="54" spans="1:184" s="31" customFormat="1" ht="19.5" customHeight="1">
      <c r="A54" s="254" t="s">
        <v>41</v>
      </c>
      <c r="B54" s="254" t="s">
        <v>142</v>
      </c>
      <c r="C54" s="107">
        <f t="shared" si="18"/>
        <v>1062</v>
      </c>
      <c r="D54" s="107">
        <f>SUM(D55:D59)</f>
        <v>675</v>
      </c>
      <c r="E54" s="107">
        <f>SUM(E55:E59)</f>
        <v>387</v>
      </c>
      <c r="F54" s="107">
        <f>SUM(F55:F59)</f>
        <v>2</v>
      </c>
      <c r="G54" s="107">
        <f>SUM(G55:G59)</f>
        <v>0</v>
      </c>
      <c r="H54" s="107">
        <f t="shared" si="19"/>
        <v>1060</v>
      </c>
      <c r="I54" s="107">
        <f t="shared" si="20"/>
        <v>980</v>
      </c>
      <c r="J54" s="107">
        <f aca="true" t="shared" si="24" ref="J54:Q54">SUM(J55:J59)</f>
        <v>178</v>
      </c>
      <c r="K54" s="107">
        <f t="shared" si="24"/>
        <v>17</v>
      </c>
      <c r="L54" s="107">
        <f t="shared" si="24"/>
        <v>784</v>
      </c>
      <c r="M54" s="107">
        <f t="shared" si="24"/>
        <v>1</v>
      </c>
      <c r="N54" s="107">
        <f t="shared" si="24"/>
        <v>0</v>
      </c>
      <c r="O54" s="107">
        <f t="shared" si="24"/>
        <v>0</v>
      </c>
      <c r="P54" s="107">
        <f t="shared" si="24"/>
        <v>0</v>
      </c>
      <c r="Q54" s="107">
        <f t="shared" si="24"/>
        <v>80</v>
      </c>
      <c r="R54" s="261">
        <f t="shared" si="22"/>
        <v>865</v>
      </c>
      <c r="S54" s="108">
        <f t="shared" si="16"/>
        <v>19.897959183673468</v>
      </c>
      <c r="T54" s="47"/>
      <c r="U54" s="67"/>
      <c r="V54" s="66"/>
      <c r="W54" s="47"/>
      <c r="X54" s="65"/>
      <c r="Y54" s="64"/>
      <c r="Z54" s="64"/>
      <c r="AA54" s="64"/>
      <c r="AB54" s="64"/>
      <c r="AC54" s="64"/>
      <c r="AD54" s="64"/>
      <c r="AE54" s="64"/>
      <c r="AF54" s="64"/>
      <c r="AG54" s="64"/>
      <c r="AH54" s="64"/>
      <c r="AI54" s="64"/>
      <c r="AJ54" s="64"/>
      <c r="AK54" s="64"/>
      <c r="AL54" s="64"/>
      <c r="AM54" s="72"/>
      <c r="AN54" s="71"/>
      <c r="AO54" s="60"/>
      <c r="AP54" s="60"/>
      <c r="AQ54" s="60"/>
      <c r="AR54" s="60"/>
      <c r="AS54" s="60"/>
      <c r="AT54" s="60"/>
      <c r="AU54" s="60"/>
      <c r="AV54" s="60"/>
      <c r="AW54" s="60"/>
      <c r="AX54" s="60"/>
      <c r="AY54" s="60"/>
      <c r="AZ54" s="60"/>
      <c r="BA54" s="60"/>
      <c r="BB54" s="60"/>
      <c r="BC54" s="60"/>
      <c r="BD54" s="60"/>
      <c r="BE54" s="56"/>
      <c r="BF54" s="55"/>
      <c r="BG54" s="73"/>
      <c r="BH54" s="53"/>
      <c r="BI54" s="5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c r="DU54" s="32"/>
      <c r="DV54" s="32"/>
      <c r="DW54" s="32"/>
      <c r="DX54" s="32"/>
      <c r="DY54" s="32"/>
      <c r="DZ54" s="32"/>
      <c r="EA54" s="32"/>
      <c r="EB54" s="32"/>
      <c r="EC54" s="32"/>
      <c r="ED54" s="32"/>
      <c r="EE54" s="32"/>
      <c r="EF54" s="32"/>
      <c r="EG54" s="32"/>
      <c r="EH54" s="32"/>
      <c r="EI54" s="32"/>
      <c r="EJ54" s="32"/>
      <c r="EK54" s="32"/>
      <c r="EL54" s="32"/>
      <c r="EM54" s="32"/>
      <c r="EN54" s="32"/>
      <c r="EO54" s="32"/>
      <c r="EP54" s="32"/>
      <c r="EQ54" s="32"/>
      <c r="ER54" s="32"/>
      <c r="ES54" s="32"/>
      <c r="ET54" s="32"/>
      <c r="EU54" s="32"/>
      <c r="EV54" s="32"/>
      <c r="EW54" s="32"/>
      <c r="EX54" s="32"/>
      <c r="EY54" s="32"/>
      <c r="EZ54" s="32"/>
      <c r="FA54" s="32"/>
      <c r="FB54" s="32"/>
      <c r="FC54" s="32"/>
      <c r="FD54" s="32"/>
      <c r="FE54" s="32"/>
      <c r="FF54" s="32"/>
      <c r="FG54" s="32"/>
      <c r="FH54" s="32"/>
      <c r="FI54" s="32"/>
      <c r="FJ54" s="32"/>
      <c r="FK54" s="32"/>
      <c r="FL54" s="32"/>
      <c r="FM54" s="32"/>
      <c r="FN54" s="32"/>
      <c r="FO54" s="32"/>
      <c r="FP54" s="32"/>
      <c r="FQ54" s="32"/>
      <c r="FR54" s="32"/>
      <c r="FS54" s="32"/>
      <c r="FT54" s="32"/>
      <c r="FU54" s="32"/>
      <c r="FV54" s="32"/>
      <c r="FW54" s="32"/>
      <c r="FX54" s="32"/>
      <c r="FY54" s="32"/>
      <c r="FZ54" s="32"/>
      <c r="GA54" s="32"/>
      <c r="GB54" s="51"/>
    </row>
    <row r="55" spans="1:184" s="31" customFormat="1" ht="19.5" customHeight="1">
      <c r="A55" s="74" t="s">
        <v>141</v>
      </c>
      <c r="B55" s="74" t="s">
        <v>140</v>
      </c>
      <c r="C55" s="107">
        <f t="shared" si="18"/>
        <v>37</v>
      </c>
      <c r="D55" s="107">
        <v>15</v>
      </c>
      <c r="E55" s="266">
        <v>22</v>
      </c>
      <c r="F55" s="107">
        <v>0</v>
      </c>
      <c r="G55" s="107">
        <v>0</v>
      </c>
      <c r="H55" s="107">
        <f t="shared" si="19"/>
        <v>37</v>
      </c>
      <c r="I55" s="107">
        <f t="shared" si="20"/>
        <v>36</v>
      </c>
      <c r="J55" s="266">
        <v>15</v>
      </c>
      <c r="K55" s="107">
        <v>0</v>
      </c>
      <c r="L55" s="266">
        <v>21</v>
      </c>
      <c r="M55" s="107">
        <v>0</v>
      </c>
      <c r="N55" s="107">
        <v>0</v>
      </c>
      <c r="O55" s="107">
        <v>0</v>
      </c>
      <c r="P55" s="107">
        <v>0</v>
      </c>
      <c r="Q55" s="267">
        <v>1</v>
      </c>
      <c r="R55" s="261">
        <f t="shared" si="22"/>
        <v>22</v>
      </c>
      <c r="S55" s="108">
        <f t="shared" si="16"/>
        <v>41.66666666666667</v>
      </c>
      <c r="T55" s="47"/>
      <c r="U55" s="67"/>
      <c r="V55" s="66"/>
      <c r="W55" s="47"/>
      <c r="X55" s="65"/>
      <c r="Y55" s="64"/>
      <c r="Z55" s="64"/>
      <c r="AA55" s="64"/>
      <c r="AB55" s="64"/>
      <c r="AC55" s="64"/>
      <c r="AD55" s="64"/>
      <c r="AE55" s="64"/>
      <c r="AF55" s="64"/>
      <c r="AG55" s="64"/>
      <c r="AH55" s="64"/>
      <c r="AI55" s="64"/>
      <c r="AJ55" s="64"/>
      <c r="AK55" s="64"/>
      <c r="AL55" s="64"/>
      <c r="AM55" s="63"/>
      <c r="AN55" s="62"/>
      <c r="AO55" s="60"/>
      <c r="AP55" s="59"/>
      <c r="AQ55" s="59"/>
      <c r="AR55" s="59"/>
      <c r="AS55" s="59"/>
      <c r="AT55" s="60"/>
      <c r="AU55" s="60"/>
      <c r="AV55" s="59"/>
      <c r="AW55" s="59"/>
      <c r="AX55" s="59"/>
      <c r="AY55" s="59"/>
      <c r="AZ55" s="59"/>
      <c r="BA55" s="59"/>
      <c r="BB55" s="59"/>
      <c r="BC55" s="69"/>
      <c r="BD55" s="68"/>
      <c r="BE55" s="56"/>
      <c r="BF55" s="55"/>
      <c r="BG55" s="73"/>
      <c r="BH55" s="53"/>
      <c r="BI55" s="52"/>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c r="DU55" s="32"/>
      <c r="DV55" s="32"/>
      <c r="DW55" s="32"/>
      <c r="DX55" s="32"/>
      <c r="DY55" s="32"/>
      <c r="DZ55" s="32"/>
      <c r="EA55" s="32"/>
      <c r="EB55" s="32"/>
      <c r="EC55" s="32"/>
      <c r="ED55" s="32"/>
      <c r="EE55" s="32"/>
      <c r="EF55" s="32"/>
      <c r="EG55" s="32"/>
      <c r="EH55" s="32"/>
      <c r="EI55" s="32"/>
      <c r="EJ55" s="32"/>
      <c r="EK55" s="32"/>
      <c r="EL55" s="32"/>
      <c r="EM55" s="32"/>
      <c r="EN55" s="32"/>
      <c r="EO55" s="32"/>
      <c r="EP55" s="32"/>
      <c r="EQ55" s="32"/>
      <c r="ER55" s="32"/>
      <c r="ES55" s="32"/>
      <c r="ET55" s="32"/>
      <c r="EU55" s="32"/>
      <c r="EV55" s="32"/>
      <c r="EW55" s="32"/>
      <c r="EX55" s="32"/>
      <c r="EY55" s="32"/>
      <c r="EZ55" s="32"/>
      <c r="FA55" s="32"/>
      <c r="FB55" s="32"/>
      <c r="FC55" s="32"/>
      <c r="FD55" s="32"/>
      <c r="FE55" s="32"/>
      <c r="FF55" s="32"/>
      <c r="FG55" s="32"/>
      <c r="FH55" s="32"/>
      <c r="FI55" s="32"/>
      <c r="FJ55" s="32"/>
      <c r="FK55" s="32"/>
      <c r="FL55" s="32"/>
      <c r="FM55" s="32"/>
      <c r="FN55" s="32"/>
      <c r="FO55" s="32"/>
      <c r="FP55" s="32"/>
      <c r="FQ55" s="32"/>
      <c r="FR55" s="32"/>
      <c r="FS55" s="32"/>
      <c r="FT55" s="32"/>
      <c r="FU55" s="32"/>
      <c r="FV55" s="32"/>
      <c r="FW55" s="32"/>
      <c r="FX55" s="32"/>
      <c r="FY55" s="32"/>
      <c r="FZ55" s="32"/>
      <c r="GA55" s="32"/>
      <c r="GB55" s="51"/>
    </row>
    <row r="56" spans="1:184" s="31" customFormat="1" ht="19.5" customHeight="1">
      <c r="A56" s="74" t="s">
        <v>139</v>
      </c>
      <c r="B56" s="74" t="s">
        <v>199</v>
      </c>
      <c r="C56" s="107">
        <f t="shared" si="18"/>
        <v>353</v>
      </c>
      <c r="D56" s="107">
        <v>253</v>
      </c>
      <c r="E56" s="266">
        <v>100</v>
      </c>
      <c r="F56" s="107">
        <v>0</v>
      </c>
      <c r="G56" s="107">
        <v>0</v>
      </c>
      <c r="H56" s="107">
        <f t="shared" si="19"/>
        <v>353</v>
      </c>
      <c r="I56" s="107">
        <f t="shared" si="20"/>
        <v>329</v>
      </c>
      <c r="J56" s="266">
        <v>48</v>
      </c>
      <c r="K56" s="266">
        <v>4</v>
      </c>
      <c r="L56" s="266">
        <v>277</v>
      </c>
      <c r="M56" s="107">
        <v>0</v>
      </c>
      <c r="N56" s="107">
        <v>0</v>
      </c>
      <c r="O56" s="107">
        <v>0</v>
      </c>
      <c r="P56" s="107">
        <v>0</v>
      </c>
      <c r="Q56" s="267">
        <v>24</v>
      </c>
      <c r="R56" s="261">
        <f t="shared" si="22"/>
        <v>301</v>
      </c>
      <c r="S56" s="108">
        <f t="shared" si="16"/>
        <v>15.80547112462006</v>
      </c>
      <c r="T56" s="47"/>
      <c r="U56" s="67"/>
      <c r="V56" s="66"/>
      <c r="W56" s="47"/>
      <c r="X56" s="65"/>
      <c r="Y56" s="64"/>
      <c r="Z56" s="64"/>
      <c r="AA56" s="64"/>
      <c r="AB56" s="64"/>
      <c r="AC56" s="64"/>
      <c r="AD56" s="64"/>
      <c r="AE56" s="64"/>
      <c r="AF56" s="64"/>
      <c r="AG56" s="64"/>
      <c r="AH56" s="64"/>
      <c r="AI56" s="64"/>
      <c r="AJ56" s="64"/>
      <c r="AK56" s="64"/>
      <c r="AL56" s="64"/>
      <c r="AM56" s="63"/>
      <c r="AN56" s="62"/>
      <c r="AO56" s="60"/>
      <c r="AP56" s="59"/>
      <c r="AQ56" s="59"/>
      <c r="AR56" s="59"/>
      <c r="AS56" s="59"/>
      <c r="AT56" s="60"/>
      <c r="AU56" s="60"/>
      <c r="AV56" s="59"/>
      <c r="AW56" s="59"/>
      <c r="AX56" s="59"/>
      <c r="AY56" s="59"/>
      <c r="AZ56" s="59"/>
      <c r="BA56" s="59"/>
      <c r="BB56" s="59"/>
      <c r="BC56" s="69"/>
      <c r="BD56" s="68"/>
      <c r="BE56" s="56"/>
      <c r="BF56" s="55"/>
      <c r="BG56" s="73"/>
      <c r="BH56" s="53"/>
      <c r="BI56" s="52"/>
      <c r="BJ56" s="32"/>
      <c r="BK56" s="32"/>
      <c r="BL56" s="32"/>
      <c r="BM56" s="32"/>
      <c r="BN56" s="32"/>
      <c r="BO56" s="32"/>
      <c r="BP56" s="32"/>
      <c r="BQ56" s="32"/>
      <c r="BR56" s="32"/>
      <c r="BS56" s="32"/>
      <c r="BT56" s="32"/>
      <c r="BU56" s="32"/>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c r="DU56" s="32"/>
      <c r="DV56" s="32"/>
      <c r="DW56" s="32"/>
      <c r="DX56" s="32"/>
      <c r="DY56" s="32"/>
      <c r="DZ56" s="32"/>
      <c r="EA56" s="32"/>
      <c r="EB56" s="32"/>
      <c r="EC56" s="32"/>
      <c r="ED56" s="32"/>
      <c r="EE56" s="32"/>
      <c r="EF56" s="32"/>
      <c r="EG56" s="32"/>
      <c r="EH56" s="32"/>
      <c r="EI56" s="32"/>
      <c r="EJ56" s="32"/>
      <c r="EK56" s="32"/>
      <c r="EL56" s="32"/>
      <c r="EM56" s="32"/>
      <c r="EN56" s="32"/>
      <c r="EO56" s="32"/>
      <c r="EP56" s="32"/>
      <c r="EQ56" s="32"/>
      <c r="ER56" s="32"/>
      <c r="ES56" s="32"/>
      <c r="ET56" s="32"/>
      <c r="EU56" s="32"/>
      <c r="EV56" s="32"/>
      <c r="EW56" s="32"/>
      <c r="EX56" s="32"/>
      <c r="EY56" s="32"/>
      <c r="EZ56" s="32"/>
      <c r="FA56" s="32"/>
      <c r="FB56" s="32"/>
      <c r="FC56" s="32"/>
      <c r="FD56" s="32"/>
      <c r="FE56" s="32"/>
      <c r="FF56" s="32"/>
      <c r="FG56" s="32"/>
      <c r="FH56" s="32"/>
      <c r="FI56" s="32"/>
      <c r="FJ56" s="32"/>
      <c r="FK56" s="32"/>
      <c r="FL56" s="32"/>
      <c r="FM56" s="32"/>
      <c r="FN56" s="32"/>
      <c r="FO56" s="32"/>
      <c r="FP56" s="32"/>
      <c r="FQ56" s="32"/>
      <c r="FR56" s="32"/>
      <c r="FS56" s="32"/>
      <c r="FT56" s="32"/>
      <c r="FU56" s="32"/>
      <c r="FV56" s="32"/>
      <c r="FW56" s="32"/>
      <c r="FX56" s="32"/>
      <c r="FY56" s="32"/>
      <c r="FZ56" s="32"/>
      <c r="GA56" s="32"/>
      <c r="GB56" s="51"/>
    </row>
    <row r="57" spans="1:184" s="31" customFormat="1" ht="19.5" customHeight="1">
      <c r="A57" s="74" t="s">
        <v>137</v>
      </c>
      <c r="B57" s="74" t="s">
        <v>136</v>
      </c>
      <c r="C57" s="107">
        <f t="shared" si="18"/>
        <v>271</v>
      </c>
      <c r="D57" s="107">
        <v>141</v>
      </c>
      <c r="E57" s="266">
        <v>130</v>
      </c>
      <c r="F57" s="266">
        <v>2</v>
      </c>
      <c r="G57" s="107">
        <v>0</v>
      </c>
      <c r="H57" s="107">
        <f t="shared" si="19"/>
        <v>269</v>
      </c>
      <c r="I57" s="107">
        <f t="shared" si="20"/>
        <v>244</v>
      </c>
      <c r="J57" s="266">
        <v>65</v>
      </c>
      <c r="K57" s="107">
        <v>0</v>
      </c>
      <c r="L57" s="266">
        <v>178</v>
      </c>
      <c r="M57" s="266">
        <v>1</v>
      </c>
      <c r="N57" s="107">
        <v>0</v>
      </c>
      <c r="O57" s="107">
        <v>0</v>
      </c>
      <c r="P57" s="107">
        <v>0</v>
      </c>
      <c r="Q57" s="267">
        <v>25</v>
      </c>
      <c r="R57" s="261">
        <f t="shared" si="22"/>
        <v>204</v>
      </c>
      <c r="S57" s="108">
        <f t="shared" si="16"/>
        <v>26.639344262295083</v>
      </c>
      <c r="T57" s="47"/>
      <c r="U57" s="67"/>
      <c r="V57" s="66"/>
      <c r="W57" s="47"/>
      <c r="X57" s="65"/>
      <c r="Y57" s="64"/>
      <c r="Z57" s="64"/>
      <c r="AA57" s="64"/>
      <c r="AB57" s="64"/>
      <c r="AC57" s="64"/>
      <c r="AD57" s="64"/>
      <c r="AE57" s="64"/>
      <c r="AF57" s="64"/>
      <c r="AG57" s="64"/>
      <c r="AH57" s="64"/>
      <c r="AI57" s="64"/>
      <c r="AJ57" s="64"/>
      <c r="AK57" s="64"/>
      <c r="AL57" s="64"/>
      <c r="AM57" s="63"/>
      <c r="AN57" s="62"/>
      <c r="AO57" s="60"/>
      <c r="AP57" s="59"/>
      <c r="AQ57" s="59"/>
      <c r="AR57" s="59"/>
      <c r="AS57" s="59"/>
      <c r="AT57" s="60"/>
      <c r="AU57" s="60"/>
      <c r="AV57" s="59"/>
      <c r="AW57" s="59"/>
      <c r="AX57" s="59"/>
      <c r="AY57" s="59"/>
      <c r="AZ57" s="59"/>
      <c r="BA57" s="59"/>
      <c r="BB57" s="59"/>
      <c r="BC57" s="69"/>
      <c r="BD57" s="68"/>
      <c r="BE57" s="56"/>
      <c r="BF57" s="55"/>
      <c r="BG57" s="73"/>
      <c r="BH57" s="53"/>
      <c r="BI57" s="52"/>
      <c r="BJ57" s="32"/>
      <c r="BK57" s="32"/>
      <c r="BL57" s="32"/>
      <c r="BM57" s="32"/>
      <c r="BN57" s="32"/>
      <c r="BO57" s="32"/>
      <c r="BP57" s="32"/>
      <c r="BQ57" s="32"/>
      <c r="BR57" s="32"/>
      <c r="BS57" s="32"/>
      <c r="BT57" s="32"/>
      <c r="BU57" s="32"/>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c r="DU57" s="32"/>
      <c r="DV57" s="32"/>
      <c r="DW57" s="32"/>
      <c r="DX57" s="32"/>
      <c r="DY57" s="32"/>
      <c r="DZ57" s="32"/>
      <c r="EA57" s="32"/>
      <c r="EB57" s="32"/>
      <c r="EC57" s="32"/>
      <c r="ED57" s="32"/>
      <c r="EE57" s="32"/>
      <c r="EF57" s="32"/>
      <c r="EG57" s="32"/>
      <c r="EH57" s="32"/>
      <c r="EI57" s="32"/>
      <c r="EJ57" s="32"/>
      <c r="EK57" s="32"/>
      <c r="EL57" s="32"/>
      <c r="EM57" s="32"/>
      <c r="EN57" s="32"/>
      <c r="EO57" s="32"/>
      <c r="EP57" s="32"/>
      <c r="EQ57" s="32"/>
      <c r="ER57" s="32"/>
      <c r="ES57" s="32"/>
      <c r="ET57" s="32"/>
      <c r="EU57" s="32"/>
      <c r="EV57" s="32"/>
      <c r="EW57" s="32"/>
      <c r="EX57" s="32"/>
      <c r="EY57" s="32"/>
      <c r="EZ57" s="32"/>
      <c r="FA57" s="32"/>
      <c r="FB57" s="32"/>
      <c r="FC57" s="32"/>
      <c r="FD57" s="32"/>
      <c r="FE57" s="32"/>
      <c r="FF57" s="32"/>
      <c r="FG57" s="32"/>
      <c r="FH57" s="32"/>
      <c r="FI57" s="32"/>
      <c r="FJ57" s="32"/>
      <c r="FK57" s="32"/>
      <c r="FL57" s="32"/>
      <c r="FM57" s="32"/>
      <c r="FN57" s="32"/>
      <c r="FO57" s="32"/>
      <c r="FP57" s="32"/>
      <c r="FQ57" s="32"/>
      <c r="FR57" s="32"/>
      <c r="FS57" s="32"/>
      <c r="FT57" s="32"/>
      <c r="FU57" s="32"/>
      <c r="FV57" s="32"/>
      <c r="FW57" s="32"/>
      <c r="FX57" s="32"/>
      <c r="FY57" s="32"/>
      <c r="FZ57" s="32"/>
      <c r="GA57" s="32"/>
      <c r="GB57" s="51"/>
    </row>
    <row r="58" spans="1:184" s="31" customFormat="1" ht="19.5" customHeight="1">
      <c r="A58" s="74" t="s">
        <v>135</v>
      </c>
      <c r="B58" s="74" t="s">
        <v>134</v>
      </c>
      <c r="C58" s="107">
        <f t="shared" si="18"/>
        <v>168</v>
      </c>
      <c r="D58" s="107">
        <v>107</v>
      </c>
      <c r="E58" s="266">
        <v>61</v>
      </c>
      <c r="F58" s="107">
        <v>0</v>
      </c>
      <c r="G58" s="107">
        <v>0</v>
      </c>
      <c r="H58" s="107">
        <f t="shared" si="19"/>
        <v>168</v>
      </c>
      <c r="I58" s="107">
        <f t="shared" si="20"/>
        <v>153</v>
      </c>
      <c r="J58" s="266">
        <v>26</v>
      </c>
      <c r="K58" s="107">
        <v>0</v>
      </c>
      <c r="L58" s="266">
        <v>127</v>
      </c>
      <c r="M58" s="107">
        <v>0</v>
      </c>
      <c r="N58" s="107">
        <v>0</v>
      </c>
      <c r="O58" s="107">
        <v>0</v>
      </c>
      <c r="P58" s="107">
        <v>0</v>
      </c>
      <c r="Q58" s="267">
        <v>15</v>
      </c>
      <c r="R58" s="261">
        <f t="shared" si="22"/>
        <v>142</v>
      </c>
      <c r="S58" s="108">
        <f t="shared" si="16"/>
        <v>16.99346405228758</v>
      </c>
      <c r="T58" s="47"/>
      <c r="U58" s="67"/>
      <c r="V58" s="66"/>
      <c r="W58" s="47"/>
      <c r="X58" s="65"/>
      <c r="Y58" s="64"/>
      <c r="Z58" s="64"/>
      <c r="AA58" s="64"/>
      <c r="AB58" s="64"/>
      <c r="AC58" s="64"/>
      <c r="AD58" s="64"/>
      <c r="AE58" s="64"/>
      <c r="AF58" s="64"/>
      <c r="AG58" s="64"/>
      <c r="AH58" s="64"/>
      <c r="AI58" s="64"/>
      <c r="AJ58" s="64"/>
      <c r="AK58" s="64"/>
      <c r="AL58" s="64"/>
      <c r="AM58" s="63"/>
      <c r="AN58" s="62"/>
      <c r="AO58" s="60"/>
      <c r="AP58" s="59"/>
      <c r="AQ58" s="59"/>
      <c r="AR58" s="59"/>
      <c r="AS58" s="59"/>
      <c r="AT58" s="60"/>
      <c r="AU58" s="60"/>
      <c r="AV58" s="59"/>
      <c r="AW58" s="59"/>
      <c r="AX58" s="59"/>
      <c r="AY58" s="59"/>
      <c r="AZ58" s="59"/>
      <c r="BA58" s="59"/>
      <c r="BB58" s="59"/>
      <c r="BC58" s="69"/>
      <c r="BD58" s="68"/>
      <c r="BE58" s="56"/>
      <c r="BF58" s="55"/>
      <c r="BG58" s="73"/>
      <c r="BH58" s="53"/>
      <c r="BI58" s="5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c r="DU58" s="32"/>
      <c r="DV58" s="32"/>
      <c r="DW58" s="32"/>
      <c r="DX58" s="32"/>
      <c r="DY58" s="32"/>
      <c r="DZ58" s="32"/>
      <c r="EA58" s="32"/>
      <c r="EB58" s="32"/>
      <c r="EC58" s="32"/>
      <c r="ED58" s="32"/>
      <c r="EE58" s="32"/>
      <c r="EF58" s="32"/>
      <c r="EG58" s="32"/>
      <c r="EH58" s="32"/>
      <c r="EI58" s="32"/>
      <c r="EJ58" s="32"/>
      <c r="EK58" s="32"/>
      <c r="EL58" s="32"/>
      <c r="EM58" s="32"/>
      <c r="EN58" s="32"/>
      <c r="EO58" s="32"/>
      <c r="EP58" s="32"/>
      <c r="EQ58" s="32"/>
      <c r="ER58" s="32"/>
      <c r="ES58" s="32"/>
      <c r="ET58" s="32"/>
      <c r="EU58" s="32"/>
      <c r="EV58" s="32"/>
      <c r="EW58" s="32"/>
      <c r="EX58" s="32"/>
      <c r="EY58" s="32"/>
      <c r="EZ58" s="32"/>
      <c r="FA58" s="32"/>
      <c r="FB58" s="32"/>
      <c r="FC58" s="32"/>
      <c r="FD58" s="32"/>
      <c r="FE58" s="32"/>
      <c r="FF58" s="32"/>
      <c r="FG58" s="32"/>
      <c r="FH58" s="32"/>
      <c r="FI58" s="32"/>
      <c r="FJ58" s="32"/>
      <c r="FK58" s="32"/>
      <c r="FL58" s="32"/>
      <c r="FM58" s="32"/>
      <c r="FN58" s="32"/>
      <c r="FO58" s="32"/>
      <c r="FP58" s="32"/>
      <c r="FQ58" s="32"/>
      <c r="FR58" s="32"/>
      <c r="FS58" s="32"/>
      <c r="FT58" s="32"/>
      <c r="FU58" s="32"/>
      <c r="FV58" s="32"/>
      <c r="FW58" s="32"/>
      <c r="FX58" s="32"/>
      <c r="FY58" s="32"/>
      <c r="FZ58" s="32"/>
      <c r="GA58" s="32"/>
      <c r="GB58" s="51"/>
    </row>
    <row r="59" spans="1:184" s="31" customFormat="1" ht="19.5" customHeight="1">
      <c r="A59" s="74" t="s">
        <v>133</v>
      </c>
      <c r="B59" s="74" t="s">
        <v>132</v>
      </c>
      <c r="C59" s="107">
        <f t="shared" si="18"/>
        <v>233</v>
      </c>
      <c r="D59" s="107">
        <v>159</v>
      </c>
      <c r="E59" s="266">
        <v>74</v>
      </c>
      <c r="F59" s="107">
        <v>0</v>
      </c>
      <c r="G59" s="107">
        <v>0</v>
      </c>
      <c r="H59" s="107">
        <f t="shared" si="19"/>
        <v>233</v>
      </c>
      <c r="I59" s="107">
        <f t="shared" si="20"/>
        <v>218</v>
      </c>
      <c r="J59" s="266">
        <v>24</v>
      </c>
      <c r="K59" s="266">
        <v>13</v>
      </c>
      <c r="L59" s="266">
        <v>181</v>
      </c>
      <c r="M59" s="107">
        <v>0</v>
      </c>
      <c r="N59" s="107">
        <v>0</v>
      </c>
      <c r="O59" s="107">
        <v>0</v>
      </c>
      <c r="P59" s="107">
        <v>0</v>
      </c>
      <c r="Q59" s="267">
        <v>15</v>
      </c>
      <c r="R59" s="261">
        <f t="shared" si="22"/>
        <v>196</v>
      </c>
      <c r="S59" s="108">
        <f t="shared" si="16"/>
        <v>16.972477064220186</v>
      </c>
      <c r="T59" s="47"/>
      <c r="U59" s="67"/>
      <c r="V59" s="66"/>
      <c r="W59" s="47"/>
      <c r="X59" s="65"/>
      <c r="Y59" s="64"/>
      <c r="Z59" s="64"/>
      <c r="AA59" s="64"/>
      <c r="AB59" s="64"/>
      <c r="AC59" s="64"/>
      <c r="AD59" s="64"/>
      <c r="AE59" s="64"/>
      <c r="AF59" s="64"/>
      <c r="AG59" s="64"/>
      <c r="AH59" s="64"/>
      <c r="AI59" s="64"/>
      <c r="AJ59" s="64"/>
      <c r="AK59" s="64"/>
      <c r="AL59" s="64"/>
      <c r="AM59" s="63"/>
      <c r="AN59" s="62"/>
      <c r="AO59" s="60"/>
      <c r="AP59" s="59"/>
      <c r="AQ59" s="59"/>
      <c r="AR59" s="59"/>
      <c r="AS59" s="59"/>
      <c r="AT59" s="60"/>
      <c r="AU59" s="60"/>
      <c r="AV59" s="59"/>
      <c r="AW59" s="59"/>
      <c r="AX59" s="59"/>
      <c r="AY59" s="59"/>
      <c r="AZ59" s="59"/>
      <c r="BA59" s="59"/>
      <c r="BB59" s="59"/>
      <c r="BC59" s="69"/>
      <c r="BD59" s="68"/>
      <c r="BE59" s="56"/>
      <c r="BF59" s="55"/>
      <c r="BG59" s="73"/>
      <c r="BH59" s="53"/>
      <c r="BI59" s="52"/>
      <c r="BJ59" s="32"/>
      <c r="BK59" s="32"/>
      <c r="BL59" s="32"/>
      <c r="BM59" s="32"/>
      <c r="BN59" s="32"/>
      <c r="BO59" s="32"/>
      <c r="BP59" s="32"/>
      <c r="BQ59" s="32"/>
      <c r="BR59" s="32"/>
      <c r="BS59" s="32"/>
      <c r="BT59" s="32"/>
      <c r="BU59" s="32"/>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c r="DU59" s="32"/>
      <c r="DV59" s="32"/>
      <c r="DW59" s="32"/>
      <c r="DX59" s="32"/>
      <c r="DY59" s="32"/>
      <c r="DZ59" s="32"/>
      <c r="EA59" s="32"/>
      <c r="EB59" s="32"/>
      <c r="EC59" s="32"/>
      <c r="ED59" s="32"/>
      <c r="EE59" s="32"/>
      <c r="EF59" s="32"/>
      <c r="EG59" s="32"/>
      <c r="EH59" s="32"/>
      <c r="EI59" s="32"/>
      <c r="EJ59" s="32"/>
      <c r="EK59" s="32"/>
      <c r="EL59" s="32"/>
      <c r="EM59" s="32"/>
      <c r="EN59" s="32"/>
      <c r="EO59" s="32"/>
      <c r="EP59" s="32"/>
      <c r="EQ59" s="32"/>
      <c r="ER59" s="32"/>
      <c r="ES59" s="32"/>
      <c r="ET59" s="32"/>
      <c r="EU59" s="32"/>
      <c r="EV59" s="32"/>
      <c r="EW59" s="32"/>
      <c r="EX59" s="32"/>
      <c r="EY59" s="32"/>
      <c r="EZ59" s="32"/>
      <c r="FA59" s="32"/>
      <c r="FB59" s="32"/>
      <c r="FC59" s="32"/>
      <c r="FD59" s="32"/>
      <c r="FE59" s="32"/>
      <c r="FF59" s="32"/>
      <c r="FG59" s="32"/>
      <c r="FH59" s="32"/>
      <c r="FI59" s="32"/>
      <c r="FJ59" s="32"/>
      <c r="FK59" s="32"/>
      <c r="FL59" s="32"/>
      <c r="FM59" s="32"/>
      <c r="FN59" s="32"/>
      <c r="FO59" s="32"/>
      <c r="FP59" s="32"/>
      <c r="FQ59" s="32"/>
      <c r="FR59" s="32"/>
      <c r="FS59" s="32"/>
      <c r="FT59" s="32"/>
      <c r="FU59" s="32"/>
      <c r="FV59" s="32"/>
      <c r="FW59" s="32"/>
      <c r="FX59" s="32"/>
      <c r="FY59" s="32"/>
      <c r="FZ59" s="32"/>
      <c r="GA59" s="32"/>
      <c r="GB59" s="51"/>
    </row>
    <row r="60" spans="1:184" s="31" customFormat="1" ht="19.5" customHeight="1">
      <c r="A60" s="254" t="s">
        <v>42</v>
      </c>
      <c r="B60" s="254" t="s">
        <v>131</v>
      </c>
      <c r="C60" s="107">
        <f t="shared" si="18"/>
        <v>1263</v>
      </c>
      <c r="D60" s="107">
        <f>SUM(D61:D65)</f>
        <v>748</v>
      </c>
      <c r="E60" s="107">
        <f>SUM(E61:E65)</f>
        <v>515</v>
      </c>
      <c r="F60" s="107">
        <f>SUM(F61:F65)</f>
        <v>7</v>
      </c>
      <c r="G60" s="107">
        <f>SUM(G61:G65)</f>
        <v>0</v>
      </c>
      <c r="H60" s="107">
        <f t="shared" si="19"/>
        <v>1256</v>
      </c>
      <c r="I60" s="107">
        <f t="shared" si="20"/>
        <v>1164</v>
      </c>
      <c r="J60" s="107">
        <f aca="true" t="shared" si="25" ref="J60:Q60">SUM(J61:J65)</f>
        <v>379</v>
      </c>
      <c r="K60" s="107">
        <f t="shared" si="25"/>
        <v>1</v>
      </c>
      <c r="L60" s="107">
        <f t="shared" si="25"/>
        <v>587</v>
      </c>
      <c r="M60" s="107">
        <f t="shared" si="25"/>
        <v>149</v>
      </c>
      <c r="N60" s="107">
        <f t="shared" si="25"/>
        <v>0</v>
      </c>
      <c r="O60" s="107">
        <f t="shared" si="25"/>
        <v>0</v>
      </c>
      <c r="P60" s="107">
        <f t="shared" si="25"/>
        <v>48</v>
      </c>
      <c r="Q60" s="107">
        <f t="shared" si="25"/>
        <v>92</v>
      </c>
      <c r="R60" s="261">
        <f t="shared" si="22"/>
        <v>876</v>
      </c>
      <c r="S60" s="108">
        <f t="shared" si="16"/>
        <v>32.64604810996563</v>
      </c>
      <c r="T60" s="47"/>
      <c r="U60" s="67"/>
      <c r="V60" s="66"/>
      <c r="W60" s="47"/>
      <c r="X60" s="65"/>
      <c r="Y60" s="64"/>
      <c r="Z60" s="64"/>
      <c r="AA60" s="64"/>
      <c r="AB60" s="64"/>
      <c r="AC60" s="64"/>
      <c r="AD60" s="64"/>
      <c r="AE60" s="64"/>
      <c r="AF60" s="64"/>
      <c r="AG60" s="64"/>
      <c r="AH60" s="64"/>
      <c r="AI60" s="64"/>
      <c r="AJ60" s="64"/>
      <c r="AK60" s="64"/>
      <c r="AL60" s="64"/>
      <c r="AM60" s="72"/>
      <c r="AN60" s="71"/>
      <c r="AO60" s="60"/>
      <c r="AP60" s="60"/>
      <c r="AQ60" s="60"/>
      <c r="AR60" s="60"/>
      <c r="AS60" s="60"/>
      <c r="AT60" s="60"/>
      <c r="AU60" s="60"/>
      <c r="AV60" s="60"/>
      <c r="AW60" s="60"/>
      <c r="AX60" s="60"/>
      <c r="AY60" s="60"/>
      <c r="AZ60" s="60"/>
      <c r="BA60" s="60"/>
      <c r="BB60" s="60"/>
      <c r="BC60" s="60"/>
      <c r="BD60" s="60"/>
      <c r="BE60" s="56"/>
      <c r="BF60" s="55"/>
      <c r="BG60" s="73"/>
      <c r="BH60" s="53"/>
      <c r="BI60" s="5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51"/>
    </row>
    <row r="61" spans="1:184" s="31" customFormat="1" ht="19.5" customHeight="1">
      <c r="A61" s="74" t="s">
        <v>130</v>
      </c>
      <c r="B61" s="74" t="s">
        <v>129</v>
      </c>
      <c r="C61" s="107">
        <f t="shared" si="18"/>
        <v>140</v>
      </c>
      <c r="D61" s="107">
        <v>43</v>
      </c>
      <c r="E61" s="107">
        <v>97</v>
      </c>
      <c r="F61" s="107">
        <v>1</v>
      </c>
      <c r="G61" s="107">
        <v>0</v>
      </c>
      <c r="H61" s="107">
        <f t="shared" si="19"/>
        <v>139</v>
      </c>
      <c r="I61" s="107">
        <f t="shared" si="20"/>
        <v>125</v>
      </c>
      <c r="J61" s="107">
        <v>60</v>
      </c>
      <c r="K61" s="107">
        <v>0</v>
      </c>
      <c r="L61" s="107">
        <v>52</v>
      </c>
      <c r="M61" s="107">
        <v>0</v>
      </c>
      <c r="N61" s="107">
        <v>0</v>
      </c>
      <c r="O61" s="107">
        <v>0</v>
      </c>
      <c r="P61" s="107">
        <v>13</v>
      </c>
      <c r="Q61" s="107">
        <v>14</v>
      </c>
      <c r="R61" s="261">
        <f t="shared" si="22"/>
        <v>79</v>
      </c>
      <c r="S61" s="108">
        <f t="shared" si="16"/>
        <v>48</v>
      </c>
      <c r="T61" s="47"/>
      <c r="U61" s="67"/>
      <c r="V61" s="66"/>
      <c r="W61" s="47"/>
      <c r="X61" s="65"/>
      <c r="Y61" s="64"/>
      <c r="Z61" s="64"/>
      <c r="AA61" s="64"/>
      <c r="AB61" s="64"/>
      <c r="AC61" s="64"/>
      <c r="AD61" s="64"/>
      <c r="AE61" s="64"/>
      <c r="AF61" s="64"/>
      <c r="AG61" s="64"/>
      <c r="AH61" s="64"/>
      <c r="AI61" s="64"/>
      <c r="AJ61" s="64"/>
      <c r="AK61" s="64"/>
      <c r="AL61" s="64"/>
      <c r="AM61" s="63"/>
      <c r="AN61" s="62"/>
      <c r="AO61" s="60"/>
      <c r="AP61" s="59"/>
      <c r="AQ61" s="59"/>
      <c r="AR61" s="59"/>
      <c r="AS61" s="59"/>
      <c r="AT61" s="60"/>
      <c r="AU61" s="60"/>
      <c r="AV61" s="59"/>
      <c r="AW61" s="59"/>
      <c r="AX61" s="59"/>
      <c r="AY61" s="59"/>
      <c r="AZ61" s="59"/>
      <c r="BA61" s="59"/>
      <c r="BB61" s="59"/>
      <c r="BC61" s="69"/>
      <c r="BD61" s="68"/>
      <c r="BE61" s="56"/>
      <c r="BF61" s="55"/>
      <c r="BG61" s="73"/>
      <c r="BH61" s="53"/>
      <c r="BI61" s="5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51"/>
    </row>
    <row r="62" spans="1:184" s="31" customFormat="1" ht="19.5" customHeight="1">
      <c r="A62" s="74" t="s">
        <v>128</v>
      </c>
      <c r="B62" s="74" t="s">
        <v>127</v>
      </c>
      <c r="C62" s="107">
        <f t="shared" si="18"/>
        <v>431</v>
      </c>
      <c r="D62" s="107">
        <v>315</v>
      </c>
      <c r="E62" s="107">
        <v>116</v>
      </c>
      <c r="F62" s="107">
        <v>0</v>
      </c>
      <c r="G62" s="107">
        <v>0</v>
      </c>
      <c r="H62" s="107">
        <f t="shared" si="19"/>
        <v>431</v>
      </c>
      <c r="I62" s="107">
        <f t="shared" si="20"/>
        <v>411</v>
      </c>
      <c r="J62" s="107">
        <v>96</v>
      </c>
      <c r="K62" s="107">
        <v>0</v>
      </c>
      <c r="L62" s="107">
        <v>281</v>
      </c>
      <c r="M62" s="107">
        <v>22</v>
      </c>
      <c r="N62" s="107">
        <v>0</v>
      </c>
      <c r="O62" s="107">
        <v>0</v>
      </c>
      <c r="P62" s="107">
        <v>12</v>
      </c>
      <c r="Q62" s="107">
        <v>20</v>
      </c>
      <c r="R62" s="261">
        <f t="shared" si="22"/>
        <v>335</v>
      </c>
      <c r="S62" s="108">
        <f t="shared" si="16"/>
        <v>23.357664233576642</v>
      </c>
      <c r="T62" s="47"/>
      <c r="U62" s="67"/>
      <c r="V62" s="66"/>
      <c r="W62" s="47"/>
      <c r="X62" s="65"/>
      <c r="Y62" s="64"/>
      <c r="Z62" s="64"/>
      <c r="AA62" s="64"/>
      <c r="AB62" s="64"/>
      <c r="AC62" s="64"/>
      <c r="AD62" s="64"/>
      <c r="AE62" s="64"/>
      <c r="AF62" s="64"/>
      <c r="AG62" s="64"/>
      <c r="AH62" s="64"/>
      <c r="AI62" s="64"/>
      <c r="AJ62" s="64"/>
      <c r="AK62" s="64"/>
      <c r="AL62" s="64"/>
      <c r="AM62" s="63"/>
      <c r="AN62" s="62"/>
      <c r="AO62" s="60"/>
      <c r="AP62" s="59"/>
      <c r="AQ62" s="59"/>
      <c r="AR62" s="59"/>
      <c r="AS62" s="59"/>
      <c r="AT62" s="60"/>
      <c r="AU62" s="60"/>
      <c r="AV62" s="59"/>
      <c r="AW62" s="59"/>
      <c r="AX62" s="59"/>
      <c r="AY62" s="59"/>
      <c r="AZ62" s="59"/>
      <c r="BA62" s="59"/>
      <c r="BB62" s="59"/>
      <c r="BC62" s="69"/>
      <c r="BD62" s="68"/>
      <c r="BE62" s="56"/>
      <c r="BF62" s="55"/>
      <c r="BG62" s="73"/>
      <c r="BH62" s="53"/>
      <c r="BI62" s="52"/>
      <c r="BJ62" s="32"/>
      <c r="BK62" s="32"/>
      <c r="BL62" s="32"/>
      <c r="BM62" s="32"/>
      <c r="BN62" s="32"/>
      <c r="BO62" s="32"/>
      <c r="BP62" s="32"/>
      <c r="BQ62" s="32"/>
      <c r="BR62" s="32"/>
      <c r="BS62" s="32"/>
      <c r="BT62" s="32"/>
      <c r="BU62" s="32"/>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c r="DU62" s="32"/>
      <c r="DV62" s="32"/>
      <c r="DW62" s="32"/>
      <c r="DX62" s="32"/>
      <c r="DY62" s="32"/>
      <c r="DZ62" s="32"/>
      <c r="EA62" s="32"/>
      <c r="EB62" s="32"/>
      <c r="EC62" s="32"/>
      <c r="ED62" s="32"/>
      <c r="EE62" s="32"/>
      <c r="EF62" s="32"/>
      <c r="EG62" s="32"/>
      <c r="EH62" s="32"/>
      <c r="EI62" s="32"/>
      <c r="EJ62" s="32"/>
      <c r="EK62" s="32"/>
      <c r="EL62" s="32"/>
      <c r="EM62" s="32"/>
      <c r="EN62" s="32"/>
      <c r="EO62" s="32"/>
      <c r="EP62" s="32"/>
      <c r="EQ62" s="32"/>
      <c r="ER62" s="32"/>
      <c r="ES62" s="32"/>
      <c r="ET62" s="32"/>
      <c r="EU62" s="32"/>
      <c r="EV62" s="32"/>
      <c r="EW62" s="32"/>
      <c r="EX62" s="32"/>
      <c r="EY62" s="32"/>
      <c r="EZ62" s="32"/>
      <c r="FA62" s="32"/>
      <c r="FB62" s="32"/>
      <c r="FC62" s="32"/>
      <c r="FD62" s="32"/>
      <c r="FE62" s="32"/>
      <c r="FF62" s="32"/>
      <c r="FG62" s="32"/>
      <c r="FH62" s="32"/>
      <c r="FI62" s="32"/>
      <c r="FJ62" s="32"/>
      <c r="FK62" s="32"/>
      <c r="FL62" s="32"/>
      <c r="FM62" s="32"/>
      <c r="FN62" s="32"/>
      <c r="FO62" s="32"/>
      <c r="FP62" s="32"/>
      <c r="FQ62" s="32"/>
      <c r="FR62" s="32"/>
      <c r="FS62" s="32"/>
      <c r="FT62" s="32"/>
      <c r="FU62" s="32"/>
      <c r="FV62" s="32"/>
      <c r="FW62" s="32"/>
      <c r="FX62" s="32"/>
      <c r="FY62" s="32"/>
      <c r="FZ62" s="32"/>
      <c r="GA62" s="32"/>
      <c r="GB62" s="51"/>
    </row>
    <row r="63" spans="1:184" s="31" customFormat="1" ht="19.5" customHeight="1">
      <c r="A63" s="74" t="s">
        <v>126</v>
      </c>
      <c r="B63" s="74" t="s">
        <v>125</v>
      </c>
      <c r="C63" s="107">
        <f t="shared" si="18"/>
        <v>112</v>
      </c>
      <c r="D63" s="107">
        <v>52</v>
      </c>
      <c r="E63" s="107">
        <v>60</v>
      </c>
      <c r="F63" s="107">
        <v>2</v>
      </c>
      <c r="G63" s="107">
        <v>0</v>
      </c>
      <c r="H63" s="107">
        <f t="shared" si="19"/>
        <v>110</v>
      </c>
      <c r="I63" s="107">
        <f t="shared" si="20"/>
        <v>94</v>
      </c>
      <c r="J63" s="107">
        <v>37</v>
      </c>
      <c r="K63" s="107">
        <v>0</v>
      </c>
      <c r="L63" s="107">
        <v>23</v>
      </c>
      <c r="M63" s="107">
        <v>33</v>
      </c>
      <c r="N63" s="107">
        <v>0</v>
      </c>
      <c r="O63" s="107">
        <v>0</v>
      </c>
      <c r="P63" s="107">
        <v>1</v>
      </c>
      <c r="Q63" s="107">
        <v>16</v>
      </c>
      <c r="R63" s="261">
        <f t="shared" si="22"/>
        <v>73</v>
      </c>
      <c r="S63" s="108">
        <f t="shared" si="16"/>
        <v>39.361702127659576</v>
      </c>
      <c r="T63" s="47"/>
      <c r="U63" s="67"/>
      <c r="V63" s="66"/>
      <c r="W63" s="47"/>
      <c r="X63" s="65"/>
      <c r="Y63" s="64"/>
      <c r="Z63" s="64"/>
      <c r="AA63" s="64"/>
      <c r="AB63" s="64"/>
      <c r="AC63" s="64"/>
      <c r="AD63" s="64"/>
      <c r="AE63" s="64"/>
      <c r="AF63" s="64"/>
      <c r="AG63" s="64"/>
      <c r="AH63" s="64"/>
      <c r="AI63" s="64"/>
      <c r="AJ63" s="64"/>
      <c r="AK63" s="64"/>
      <c r="AL63" s="64"/>
      <c r="AM63" s="63"/>
      <c r="AN63" s="62"/>
      <c r="AO63" s="60"/>
      <c r="AP63" s="59"/>
      <c r="AQ63" s="59"/>
      <c r="AR63" s="59"/>
      <c r="AS63" s="59"/>
      <c r="AT63" s="60"/>
      <c r="AU63" s="60"/>
      <c r="AV63" s="59"/>
      <c r="AW63" s="59"/>
      <c r="AX63" s="59"/>
      <c r="AY63" s="59"/>
      <c r="AZ63" s="59"/>
      <c r="BA63" s="59"/>
      <c r="BB63" s="59"/>
      <c r="BC63" s="69"/>
      <c r="BD63" s="68"/>
      <c r="BE63" s="56"/>
      <c r="BF63" s="55"/>
      <c r="BG63" s="73"/>
      <c r="BH63" s="53"/>
      <c r="BI63" s="5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c r="EN63" s="32"/>
      <c r="EO63" s="32"/>
      <c r="EP63" s="32"/>
      <c r="EQ63" s="32"/>
      <c r="ER63" s="32"/>
      <c r="ES63" s="32"/>
      <c r="ET63" s="32"/>
      <c r="EU63" s="32"/>
      <c r="EV63" s="32"/>
      <c r="EW63" s="32"/>
      <c r="EX63" s="32"/>
      <c r="EY63" s="32"/>
      <c r="EZ63" s="32"/>
      <c r="FA63" s="32"/>
      <c r="FB63" s="32"/>
      <c r="FC63" s="32"/>
      <c r="FD63" s="32"/>
      <c r="FE63" s="32"/>
      <c r="FF63" s="32"/>
      <c r="FG63" s="32"/>
      <c r="FH63" s="32"/>
      <c r="FI63" s="32"/>
      <c r="FJ63" s="32"/>
      <c r="FK63" s="32"/>
      <c r="FL63" s="32"/>
      <c r="FM63" s="32"/>
      <c r="FN63" s="32"/>
      <c r="FO63" s="32"/>
      <c r="FP63" s="32"/>
      <c r="FQ63" s="32"/>
      <c r="FR63" s="32"/>
      <c r="FS63" s="32"/>
      <c r="FT63" s="32"/>
      <c r="FU63" s="32"/>
      <c r="FV63" s="32"/>
      <c r="FW63" s="32"/>
      <c r="FX63" s="32"/>
      <c r="FY63" s="32"/>
      <c r="FZ63" s="32"/>
      <c r="GA63" s="32"/>
      <c r="GB63" s="51"/>
    </row>
    <row r="64" spans="1:184" s="31" customFormat="1" ht="19.5" customHeight="1">
      <c r="A64" s="74" t="s">
        <v>124</v>
      </c>
      <c r="B64" s="74" t="s">
        <v>123</v>
      </c>
      <c r="C64" s="107">
        <f t="shared" si="18"/>
        <v>349</v>
      </c>
      <c r="D64" s="107">
        <v>211</v>
      </c>
      <c r="E64" s="107">
        <v>138</v>
      </c>
      <c r="F64" s="107">
        <v>0</v>
      </c>
      <c r="G64" s="107">
        <v>0</v>
      </c>
      <c r="H64" s="107">
        <f t="shared" si="19"/>
        <v>349</v>
      </c>
      <c r="I64" s="107">
        <f t="shared" si="20"/>
        <v>338</v>
      </c>
      <c r="J64" s="107">
        <v>103</v>
      </c>
      <c r="K64" s="107">
        <v>0</v>
      </c>
      <c r="L64" s="107">
        <v>128</v>
      </c>
      <c r="M64" s="107">
        <v>92</v>
      </c>
      <c r="N64" s="107">
        <v>0</v>
      </c>
      <c r="O64" s="107">
        <v>0</v>
      </c>
      <c r="P64" s="107">
        <v>15</v>
      </c>
      <c r="Q64" s="107">
        <v>11</v>
      </c>
      <c r="R64" s="261">
        <f t="shared" si="22"/>
        <v>246</v>
      </c>
      <c r="S64" s="108">
        <f t="shared" si="16"/>
        <v>30.473372781065088</v>
      </c>
      <c r="T64" s="47"/>
      <c r="U64" s="67"/>
      <c r="V64" s="66"/>
      <c r="W64" s="47"/>
      <c r="X64" s="65"/>
      <c r="Y64" s="64"/>
      <c r="Z64" s="64"/>
      <c r="AA64" s="64"/>
      <c r="AB64" s="64"/>
      <c r="AC64" s="64"/>
      <c r="AD64" s="64"/>
      <c r="AE64" s="64"/>
      <c r="AF64" s="64"/>
      <c r="AG64" s="64"/>
      <c r="AH64" s="64"/>
      <c r="AI64" s="64"/>
      <c r="AJ64" s="64"/>
      <c r="AK64" s="64"/>
      <c r="AL64" s="64"/>
      <c r="AM64" s="63"/>
      <c r="AN64" s="62"/>
      <c r="AO64" s="60"/>
      <c r="AP64" s="59"/>
      <c r="AQ64" s="59"/>
      <c r="AR64" s="59"/>
      <c r="AS64" s="59"/>
      <c r="AT64" s="60"/>
      <c r="AU64" s="60"/>
      <c r="AV64" s="59"/>
      <c r="AW64" s="59"/>
      <c r="AX64" s="59"/>
      <c r="AY64" s="59"/>
      <c r="AZ64" s="59"/>
      <c r="BA64" s="59"/>
      <c r="BB64" s="59"/>
      <c r="BC64" s="69"/>
      <c r="BD64" s="68"/>
      <c r="BE64" s="56"/>
      <c r="BF64" s="55"/>
      <c r="BG64" s="73"/>
      <c r="BH64" s="53"/>
      <c r="BI64" s="52"/>
      <c r="BJ64" s="32"/>
      <c r="BK64" s="3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c r="DU64" s="32"/>
      <c r="DV64" s="32"/>
      <c r="DW64" s="32"/>
      <c r="DX64" s="32"/>
      <c r="DY64" s="32"/>
      <c r="DZ64" s="32"/>
      <c r="EA64" s="32"/>
      <c r="EB64" s="32"/>
      <c r="EC64" s="32"/>
      <c r="ED64" s="32"/>
      <c r="EE64" s="32"/>
      <c r="EF64" s="32"/>
      <c r="EG64" s="32"/>
      <c r="EH64" s="32"/>
      <c r="EI64" s="32"/>
      <c r="EJ64" s="32"/>
      <c r="EK64" s="32"/>
      <c r="EL64" s="32"/>
      <c r="EM64" s="32"/>
      <c r="EN64" s="32"/>
      <c r="EO64" s="32"/>
      <c r="EP64" s="32"/>
      <c r="EQ64" s="32"/>
      <c r="ER64" s="32"/>
      <c r="ES64" s="32"/>
      <c r="ET64" s="32"/>
      <c r="EU64" s="32"/>
      <c r="EV64" s="32"/>
      <c r="EW64" s="32"/>
      <c r="EX64" s="32"/>
      <c r="EY64" s="32"/>
      <c r="EZ64" s="32"/>
      <c r="FA64" s="32"/>
      <c r="FB64" s="32"/>
      <c r="FC64" s="32"/>
      <c r="FD64" s="32"/>
      <c r="FE64" s="32"/>
      <c r="FF64" s="32"/>
      <c r="FG64" s="32"/>
      <c r="FH64" s="32"/>
      <c r="FI64" s="32"/>
      <c r="FJ64" s="32"/>
      <c r="FK64" s="32"/>
      <c r="FL64" s="32"/>
      <c r="FM64" s="32"/>
      <c r="FN64" s="32"/>
      <c r="FO64" s="32"/>
      <c r="FP64" s="32"/>
      <c r="FQ64" s="32"/>
      <c r="FR64" s="32"/>
      <c r="FS64" s="32"/>
      <c r="FT64" s="32"/>
      <c r="FU64" s="32"/>
      <c r="FV64" s="32"/>
      <c r="FW64" s="32"/>
      <c r="FX64" s="32"/>
      <c r="FY64" s="32"/>
      <c r="FZ64" s="32"/>
      <c r="GA64" s="32"/>
      <c r="GB64" s="51"/>
    </row>
    <row r="65" spans="1:184" s="31" customFormat="1" ht="19.5" customHeight="1">
      <c r="A65" s="74" t="s">
        <v>122</v>
      </c>
      <c r="B65" s="74" t="s">
        <v>121</v>
      </c>
      <c r="C65" s="107">
        <f t="shared" si="18"/>
        <v>231</v>
      </c>
      <c r="D65" s="107">
        <v>127</v>
      </c>
      <c r="E65" s="107">
        <v>104</v>
      </c>
      <c r="F65" s="107">
        <v>4</v>
      </c>
      <c r="G65" s="107">
        <v>0</v>
      </c>
      <c r="H65" s="107">
        <f t="shared" si="19"/>
        <v>227</v>
      </c>
      <c r="I65" s="107">
        <f t="shared" si="20"/>
        <v>196</v>
      </c>
      <c r="J65" s="107">
        <v>83</v>
      </c>
      <c r="K65" s="107">
        <v>1</v>
      </c>
      <c r="L65" s="107">
        <v>103</v>
      </c>
      <c r="M65" s="107">
        <v>2</v>
      </c>
      <c r="N65" s="107">
        <v>0</v>
      </c>
      <c r="O65" s="107">
        <v>0</v>
      </c>
      <c r="P65" s="107">
        <v>7</v>
      </c>
      <c r="Q65" s="107">
        <v>31</v>
      </c>
      <c r="R65" s="261">
        <f t="shared" si="22"/>
        <v>143</v>
      </c>
      <c r="S65" s="108">
        <f t="shared" si="16"/>
        <v>42.857142857142854</v>
      </c>
      <c r="T65" s="47"/>
      <c r="U65" s="67"/>
      <c r="V65" s="66"/>
      <c r="W65" s="47"/>
      <c r="X65" s="65"/>
      <c r="Y65" s="64"/>
      <c r="Z65" s="64"/>
      <c r="AA65" s="64"/>
      <c r="AB65" s="64"/>
      <c r="AC65" s="64"/>
      <c r="AD65" s="64"/>
      <c r="AE65" s="64"/>
      <c r="AF65" s="64"/>
      <c r="AG65" s="64"/>
      <c r="AH65" s="64"/>
      <c r="AI65" s="64"/>
      <c r="AJ65" s="64"/>
      <c r="AK65" s="64"/>
      <c r="AL65" s="64"/>
      <c r="AM65" s="63"/>
      <c r="AN65" s="62"/>
      <c r="AO65" s="60"/>
      <c r="AP65" s="59"/>
      <c r="AQ65" s="59"/>
      <c r="AR65" s="59"/>
      <c r="AS65" s="59"/>
      <c r="AT65" s="60"/>
      <c r="AU65" s="60"/>
      <c r="AV65" s="59"/>
      <c r="AW65" s="59"/>
      <c r="AX65" s="59"/>
      <c r="AY65" s="59"/>
      <c r="AZ65" s="59"/>
      <c r="BA65" s="59"/>
      <c r="BB65" s="59"/>
      <c r="BC65" s="69"/>
      <c r="BD65" s="68"/>
      <c r="BE65" s="56"/>
      <c r="BF65" s="55"/>
      <c r="BG65" s="73"/>
      <c r="BH65" s="53"/>
      <c r="BI65" s="52"/>
      <c r="BJ65" s="32"/>
      <c r="BK65" s="32"/>
      <c r="BL65" s="32"/>
      <c r="BM65" s="32"/>
      <c r="BN65" s="32"/>
      <c r="BO65" s="32"/>
      <c r="BP65" s="32"/>
      <c r="BQ65" s="32"/>
      <c r="BR65" s="32"/>
      <c r="BS65" s="32"/>
      <c r="BT65" s="32"/>
      <c r="BU65" s="32"/>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c r="DU65" s="32"/>
      <c r="DV65" s="32"/>
      <c r="DW65" s="32"/>
      <c r="DX65" s="32"/>
      <c r="DY65" s="32"/>
      <c r="DZ65" s="32"/>
      <c r="EA65" s="32"/>
      <c r="EB65" s="32"/>
      <c r="EC65" s="32"/>
      <c r="ED65" s="32"/>
      <c r="EE65" s="32"/>
      <c r="EF65" s="32"/>
      <c r="EG65" s="32"/>
      <c r="EH65" s="32"/>
      <c r="EI65" s="32"/>
      <c r="EJ65" s="32"/>
      <c r="EK65" s="32"/>
      <c r="EL65" s="32"/>
      <c r="EM65" s="32"/>
      <c r="EN65" s="32"/>
      <c r="EO65" s="32"/>
      <c r="EP65" s="32"/>
      <c r="EQ65" s="32"/>
      <c r="ER65" s="32"/>
      <c r="ES65" s="32"/>
      <c r="ET65" s="32"/>
      <c r="EU65" s="32"/>
      <c r="EV65" s="32"/>
      <c r="EW65" s="32"/>
      <c r="EX65" s="32"/>
      <c r="EY65" s="32"/>
      <c r="EZ65" s="32"/>
      <c r="FA65" s="32"/>
      <c r="FB65" s="32"/>
      <c r="FC65" s="32"/>
      <c r="FD65" s="32"/>
      <c r="FE65" s="32"/>
      <c r="FF65" s="32"/>
      <c r="FG65" s="32"/>
      <c r="FH65" s="32"/>
      <c r="FI65" s="32"/>
      <c r="FJ65" s="32"/>
      <c r="FK65" s="32"/>
      <c r="FL65" s="32"/>
      <c r="FM65" s="32"/>
      <c r="FN65" s="32"/>
      <c r="FO65" s="32"/>
      <c r="FP65" s="32"/>
      <c r="FQ65" s="32"/>
      <c r="FR65" s="32"/>
      <c r="FS65" s="32"/>
      <c r="FT65" s="32"/>
      <c r="FU65" s="32"/>
      <c r="FV65" s="32"/>
      <c r="FW65" s="32"/>
      <c r="FX65" s="32"/>
      <c r="FY65" s="32"/>
      <c r="FZ65" s="32"/>
      <c r="GA65" s="32"/>
      <c r="GB65" s="51"/>
    </row>
    <row r="66" spans="1:184" s="31" customFormat="1" ht="19.5" customHeight="1">
      <c r="A66" s="254" t="s">
        <v>43</v>
      </c>
      <c r="B66" s="254" t="s">
        <v>120</v>
      </c>
      <c r="C66" s="107">
        <f t="shared" si="18"/>
        <v>1688</v>
      </c>
      <c r="D66" s="107">
        <f>SUM(D67:D71)</f>
        <v>770</v>
      </c>
      <c r="E66" s="107">
        <f>SUM(E67:E71)</f>
        <v>918</v>
      </c>
      <c r="F66" s="107">
        <f>SUM(F67:F71)</f>
        <v>0</v>
      </c>
      <c r="G66" s="107">
        <f>SUM(G67:G71)</f>
        <v>0</v>
      </c>
      <c r="H66" s="107">
        <f t="shared" si="19"/>
        <v>1688</v>
      </c>
      <c r="I66" s="107">
        <f t="shared" si="20"/>
        <v>1577</v>
      </c>
      <c r="J66" s="107">
        <f aca="true" t="shared" si="26" ref="J66:Q66">SUM(J67:J71)</f>
        <v>461</v>
      </c>
      <c r="K66" s="107">
        <f t="shared" si="26"/>
        <v>10</v>
      </c>
      <c r="L66" s="107">
        <f t="shared" si="26"/>
        <v>1089</v>
      </c>
      <c r="M66" s="107">
        <f t="shared" si="26"/>
        <v>15</v>
      </c>
      <c r="N66" s="107">
        <f t="shared" si="26"/>
        <v>1</v>
      </c>
      <c r="O66" s="107">
        <f t="shared" si="26"/>
        <v>0</v>
      </c>
      <c r="P66" s="107">
        <f t="shared" si="26"/>
        <v>1</v>
      </c>
      <c r="Q66" s="107">
        <f t="shared" si="26"/>
        <v>111</v>
      </c>
      <c r="R66" s="261">
        <f t="shared" si="22"/>
        <v>1217</v>
      </c>
      <c r="S66" s="108">
        <f t="shared" si="16"/>
        <v>29.86683576410907</v>
      </c>
      <c r="T66" s="47"/>
      <c r="U66" s="67"/>
      <c r="V66" s="66"/>
      <c r="W66" s="47"/>
      <c r="X66" s="65"/>
      <c r="Y66" s="64"/>
      <c r="Z66" s="64"/>
      <c r="AA66" s="64"/>
      <c r="AB66" s="64"/>
      <c r="AC66" s="64"/>
      <c r="AD66" s="64"/>
      <c r="AE66" s="64"/>
      <c r="AF66" s="64"/>
      <c r="AG66" s="64"/>
      <c r="AH66" s="64"/>
      <c r="AI66" s="64"/>
      <c r="AJ66" s="64"/>
      <c r="AK66" s="64"/>
      <c r="AL66" s="64"/>
      <c r="AM66" s="72"/>
      <c r="AN66" s="71"/>
      <c r="AO66" s="60"/>
      <c r="AP66" s="60"/>
      <c r="AQ66" s="60"/>
      <c r="AR66" s="60"/>
      <c r="AS66" s="60"/>
      <c r="AT66" s="60"/>
      <c r="AU66" s="60"/>
      <c r="AV66" s="60"/>
      <c r="AW66" s="60"/>
      <c r="AX66" s="60"/>
      <c r="AY66" s="60"/>
      <c r="AZ66" s="60"/>
      <c r="BA66" s="60"/>
      <c r="BB66" s="60"/>
      <c r="BC66" s="60"/>
      <c r="BD66" s="60"/>
      <c r="BE66" s="56"/>
      <c r="BF66" s="55"/>
      <c r="BG66" s="73"/>
      <c r="BH66" s="53"/>
      <c r="BI66" s="52"/>
      <c r="BJ66" s="32"/>
      <c r="BK66" s="32"/>
      <c r="BL66" s="32"/>
      <c r="BM66" s="32"/>
      <c r="BN66" s="32"/>
      <c r="BO66" s="32"/>
      <c r="BP66" s="32"/>
      <c r="BQ66" s="32"/>
      <c r="BR66" s="32"/>
      <c r="BS66" s="32"/>
      <c r="BT66" s="32"/>
      <c r="BU66" s="32"/>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c r="DU66" s="32"/>
      <c r="DV66" s="32"/>
      <c r="DW66" s="32"/>
      <c r="DX66" s="32"/>
      <c r="DY66" s="32"/>
      <c r="DZ66" s="32"/>
      <c r="EA66" s="32"/>
      <c r="EB66" s="32"/>
      <c r="EC66" s="32"/>
      <c r="ED66" s="32"/>
      <c r="EE66" s="32"/>
      <c r="EF66" s="32"/>
      <c r="EG66" s="32"/>
      <c r="EH66" s="32"/>
      <c r="EI66" s="32"/>
      <c r="EJ66" s="32"/>
      <c r="EK66" s="32"/>
      <c r="EL66" s="32"/>
      <c r="EM66" s="32"/>
      <c r="EN66" s="32"/>
      <c r="EO66" s="32"/>
      <c r="EP66" s="32"/>
      <c r="EQ66" s="32"/>
      <c r="ER66" s="32"/>
      <c r="ES66" s="32"/>
      <c r="ET66" s="32"/>
      <c r="EU66" s="32"/>
      <c r="EV66" s="32"/>
      <c r="EW66" s="32"/>
      <c r="EX66" s="32"/>
      <c r="EY66" s="32"/>
      <c r="EZ66" s="32"/>
      <c r="FA66" s="32"/>
      <c r="FB66" s="32"/>
      <c r="FC66" s="32"/>
      <c r="FD66" s="32"/>
      <c r="FE66" s="32"/>
      <c r="FF66" s="32"/>
      <c r="FG66" s="32"/>
      <c r="FH66" s="32"/>
      <c r="FI66" s="32"/>
      <c r="FJ66" s="32"/>
      <c r="FK66" s="32"/>
      <c r="FL66" s="32"/>
      <c r="FM66" s="32"/>
      <c r="FN66" s="32"/>
      <c r="FO66" s="32"/>
      <c r="FP66" s="32"/>
      <c r="FQ66" s="32"/>
      <c r="FR66" s="32"/>
      <c r="FS66" s="32"/>
      <c r="FT66" s="32"/>
      <c r="FU66" s="32"/>
      <c r="FV66" s="32"/>
      <c r="FW66" s="32"/>
      <c r="FX66" s="32"/>
      <c r="FY66" s="32"/>
      <c r="FZ66" s="32"/>
      <c r="GA66" s="32"/>
      <c r="GB66" s="51"/>
    </row>
    <row r="67" spans="1:184" s="31" customFormat="1" ht="19.5" customHeight="1">
      <c r="A67" s="74" t="s">
        <v>119</v>
      </c>
      <c r="B67" s="268" t="s">
        <v>118</v>
      </c>
      <c r="C67" s="107">
        <f t="shared" si="18"/>
        <v>676</v>
      </c>
      <c r="D67" s="113">
        <f>94+291</f>
        <v>385</v>
      </c>
      <c r="E67" s="113">
        <f>236+55</f>
        <v>291</v>
      </c>
      <c r="F67" s="107">
        <v>0</v>
      </c>
      <c r="G67" s="107">
        <v>0</v>
      </c>
      <c r="H67" s="107">
        <f t="shared" si="19"/>
        <v>676</v>
      </c>
      <c r="I67" s="107">
        <f t="shared" si="20"/>
        <v>663</v>
      </c>
      <c r="J67" s="113">
        <f>116+10</f>
        <v>126</v>
      </c>
      <c r="K67" s="113">
        <v>1</v>
      </c>
      <c r="L67" s="113">
        <f>194+331</f>
        <v>525</v>
      </c>
      <c r="M67" s="113">
        <f>11</f>
        <v>11</v>
      </c>
      <c r="N67" s="113">
        <v>0</v>
      </c>
      <c r="O67" s="113">
        <v>0</v>
      </c>
      <c r="P67" s="113">
        <v>0</v>
      </c>
      <c r="Q67" s="113">
        <f>9+4</f>
        <v>13</v>
      </c>
      <c r="R67" s="261">
        <f t="shared" si="22"/>
        <v>549</v>
      </c>
      <c r="S67" s="108">
        <f t="shared" si="16"/>
        <v>19.1553544494721</v>
      </c>
      <c r="T67" s="47"/>
      <c r="U67" s="67"/>
      <c r="V67" s="66"/>
      <c r="W67" s="47"/>
      <c r="X67" s="65"/>
      <c r="Y67" s="64"/>
      <c r="Z67" s="64"/>
      <c r="AA67" s="64"/>
      <c r="AB67" s="64"/>
      <c r="AC67" s="64"/>
      <c r="AD67" s="64"/>
      <c r="AE67" s="64"/>
      <c r="AF67" s="64"/>
      <c r="AG67" s="64"/>
      <c r="AH67" s="64"/>
      <c r="AI67" s="64"/>
      <c r="AJ67" s="64"/>
      <c r="AK67" s="64"/>
      <c r="AL67" s="64"/>
      <c r="AM67" s="63"/>
      <c r="AN67" s="62"/>
      <c r="AO67" s="60"/>
      <c r="AP67" s="59"/>
      <c r="AQ67" s="59"/>
      <c r="AR67" s="59"/>
      <c r="AS67" s="59"/>
      <c r="AT67" s="60"/>
      <c r="AU67" s="60"/>
      <c r="AV67" s="59"/>
      <c r="AW67" s="59"/>
      <c r="AX67" s="59"/>
      <c r="AY67" s="59"/>
      <c r="AZ67" s="59"/>
      <c r="BA67" s="59"/>
      <c r="BB67" s="59"/>
      <c r="BC67" s="69"/>
      <c r="BD67" s="68"/>
      <c r="BE67" s="56"/>
      <c r="BF67" s="55"/>
      <c r="BG67" s="73"/>
      <c r="BH67" s="53"/>
      <c r="BI67" s="52"/>
      <c r="BJ67" s="32"/>
      <c r="BK67" s="32"/>
      <c r="BL67" s="32"/>
      <c r="BM67" s="32"/>
      <c r="BN67" s="32"/>
      <c r="BO67" s="32"/>
      <c r="BP67" s="32"/>
      <c r="BQ67" s="32"/>
      <c r="BR67" s="32"/>
      <c r="BS67" s="32"/>
      <c r="BT67" s="32"/>
      <c r="BU67" s="32"/>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32"/>
      <c r="DG67" s="32"/>
      <c r="DH67" s="32"/>
      <c r="DI67" s="32"/>
      <c r="DJ67" s="32"/>
      <c r="DK67" s="32"/>
      <c r="DL67" s="32"/>
      <c r="DM67" s="32"/>
      <c r="DN67" s="32"/>
      <c r="DO67" s="32"/>
      <c r="DP67" s="32"/>
      <c r="DQ67" s="32"/>
      <c r="DR67" s="32"/>
      <c r="DS67" s="32"/>
      <c r="DT67" s="32"/>
      <c r="DU67" s="32"/>
      <c r="DV67" s="32"/>
      <c r="DW67" s="32"/>
      <c r="DX67" s="32"/>
      <c r="DY67" s="32"/>
      <c r="DZ67" s="32"/>
      <c r="EA67" s="32"/>
      <c r="EB67" s="32"/>
      <c r="EC67" s="32"/>
      <c r="ED67" s="32"/>
      <c r="EE67" s="32"/>
      <c r="EF67" s="32"/>
      <c r="EG67" s="32"/>
      <c r="EH67" s="32"/>
      <c r="EI67" s="32"/>
      <c r="EJ67" s="32"/>
      <c r="EK67" s="32"/>
      <c r="EL67" s="32"/>
      <c r="EM67" s="32"/>
      <c r="EN67" s="32"/>
      <c r="EO67" s="32"/>
      <c r="EP67" s="32"/>
      <c r="EQ67" s="32"/>
      <c r="ER67" s="32"/>
      <c r="ES67" s="32"/>
      <c r="ET67" s="32"/>
      <c r="EU67" s="32"/>
      <c r="EV67" s="32"/>
      <c r="EW67" s="32"/>
      <c r="EX67" s="32"/>
      <c r="EY67" s="32"/>
      <c r="EZ67" s="32"/>
      <c r="FA67" s="32"/>
      <c r="FB67" s="32"/>
      <c r="FC67" s="32"/>
      <c r="FD67" s="32"/>
      <c r="FE67" s="32"/>
      <c r="FF67" s="32"/>
      <c r="FG67" s="32"/>
      <c r="FH67" s="32"/>
      <c r="FI67" s="32"/>
      <c r="FJ67" s="32"/>
      <c r="FK67" s="32"/>
      <c r="FL67" s="32"/>
      <c r="FM67" s="32"/>
      <c r="FN67" s="32"/>
      <c r="FO67" s="32"/>
      <c r="FP67" s="32"/>
      <c r="FQ67" s="32"/>
      <c r="FR67" s="32"/>
      <c r="FS67" s="32"/>
      <c r="FT67" s="32"/>
      <c r="FU67" s="32"/>
      <c r="FV67" s="32"/>
      <c r="FW67" s="32"/>
      <c r="FX67" s="32"/>
      <c r="FY67" s="32"/>
      <c r="FZ67" s="32"/>
      <c r="GA67" s="32"/>
      <c r="GB67" s="51"/>
    </row>
    <row r="68" spans="1:184" s="31" customFormat="1" ht="19.5" customHeight="1">
      <c r="A68" s="74" t="s">
        <v>117</v>
      </c>
      <c r="B68" s="268" t="s">
        <v>138</v>
      </c>
      <c r="C68" s="107">
        <f t="shared" si="18"/>
        <v>254</v>
      </c>
      <c r="D68" s="113">
        <f>32+46</f>
        <v>78</v>
      </c>
      <c r="E68" s="113">
        <f>60+116</f>
        <v>176</v>
      </c>
      <c r="F68" s="107">
        <v>0</v>
      </c>
      <c r="G68" s="107">
        <v>0</v>
      </c>
      <c r="H68" s="107">
        <f t="shared" si="19"/>
        <v>254</v>
      </c>
      <c r="I68" s="107">
        <f t="shared" si="20"/>
        <v>228</v>
      </c>
      <c r="J68" s="113">
        <f>75+1</f>
        <v>76</v>
      </c>
      <c r="K68" s="113">
        <f>2</f>
        <v>2</v>
      </c>
      <c r="L68" s="113">
        <f>51+99</f>
        <v>150</v>
      </c>
      <c r="M68" s="113">
        <v>0</v>
      </c>
      <c r="N68" s="113">
        <v>0</v>
      </c>
      <c r="O68" s="113">
        <v>0</v>
      </c>
      <c r="P68" s="113">
        <v>0</v>
      </c>
      <c r="Q68" s="113">
        <f>4+22</f>
        <v>26</v>
      </c>
      <c r="R68" s="261">
        <f t="shared" si="22"/>
        <v>176</v>
      </c>
      <c r="S68" s="108">
        <f t="shared" si="16"/>
        <v>34.21052631578947</v>
      </c>
      <c r="T68" s="47"/>
      <c r="U68" s="67"/>
      <c r="V68" s="66"/>
      <c r="W68" s="47"/>
      <c r="X68" s="65"/>
      <c r="Y68" s="64"/>
      <c r="Z68" s="64"/>
      <c r="AA68" s="64"/>
      <c r="AB68" s="64"/>
      <c r="AC68" s="64"/>
      <c r="AD68" s="64"/>
      <c r="AE68" s="64"/>
      <c r="AF68" s="64"/>
      <c r="AG68" s="64"/>
      <c r="AH68" s="64"/>
      <c r="AI68" s="64"/>
      <c r="AJ68" s="64"/>
      <c r="AK68" s="64"/>
      <c r="AL68" s="64"/>
      <c r="AM68" s="63"/>
      <c r="AN68" s="62"/>
      <c r="AO68" s="60"/>
      <c r="AP68" s="59"/>
      <c r="AQ68" s="59"/>
      <c r="AR68" s="59"/>
      <c r="AS68" s="59"/>
      <c r="AT68" s="60"/>
      <c r="AU68" s="60"/>
      <c r="AV68" s="59"/>
      <c r="AW68" s="59"/>
      <c r="AX68" s="59"/>
      <c r="AY68" s="59"/>
      <c r="AZ68" s="59"/>
      <c r="BA68" s="59"/>
      <c r="BB68" s="59"/>
      <c r="BC68" s="69"/>
      <c r="BD68" s="68"/>
      <c r="BE68" s="56"/>
      <c r="BF68" s="55"/>
      <c r="BG68" s="73"/>
      <c r="BH68" s="53"/>
      <c r="BI68" s="52"/>
      <c r="BJ68" s="32"/>
      <c r="BK68" s="32"/>
      <c r="BL68" s="32"/>
      <c r="BM68" s="32"/>
      <c r="BN68" s="32"/>
      <c r="BO68" s="32"/>
      <c r="BP68" s="32"/>
      <c r="BQ68" s="32"/>
      <c r="BR68" s="32"/>
      <c r="BS68" s="32"/>
      <c r="BT68" s="32"/>
      <c r="BU68" s="32"/>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32"/>
      <c r="DS68" s="32"/>
      <c r="DT68" s="32"/>
      <c r="DU68" s="32"/>
      <c r="DV68" s="32"/>
      <c r="DW68" s="32"/>
      <c r="DX68" s="32"/>
      <c r="DY68" s="32"/>
      <c r="DZ68" s="32"/>
      <c r="EA68" s="32"/>
      <c r="EB68" s="32"/>
      <c r="EC68" s="32"/>
      <c r="ED68" s="32"/>
      <c r="EE68" s="32"/>
      <c r="EF68" s="32"/>
      <c r="EG68" s="32"/>
      <c r="EH68" s="32"/>
      <c r="EI68" s="32"/>
      <c r="EJ68" s="32"/>
      <c r="EK68" s="32"/>
      <c r="EL68" s="32"/>
      <c r="EM68" s="32"/>
      <c r="EN68" s="32"/>
      <c r="EO68" s="32"/>
      <c r="EP68" s="32"/>
      <c r="EQ68" s="32"/>
      <c r="ER68" s="32"/>
      <c r="ES68" s="32"/>
      <c r="ET68" s="32"/>
      <c r="EU68" s="32"/>
      <c r="EV68" s="32"/>
      <c r="EW68" s="32"/>
      <c r="EX68" s="32"/>
      <c r="EY68" s="32"/>
      <c r="EZ68" s="32"/>
      <c r="FA68" s="32"/>
      <c r="FB68" s="32"/>
      <c r="FC68" s="32"/>
      <c r="FD68" s="32"/>
      <c r="FE68" s="32"/>
      <c r="FF68" s="32"/>
      <c r="FG68" s="32"/>
      <c r="FH68" s="32"/>
      <c r="FI68" s="32"/>
      <c r="FJ68" s="32"/>
      <c r="FK68" s="32"/>
      <c r="FL68" s="32"/>
      <c r="FM68" s="32"/>
      <c r="FN68" s="32"/>
      <c r="FO68" s="32"/>
      <c r="FP68" s="32"/>
      <c r="FQ68" s="32"/>
      <c r="FR68" s="32"/>
      <c r="FS68" s="32"/>
      <c r="FT68" s="32"/>
      <c r="FU68" s="32"/>
      <c r="FV68" s="32"/>
      <c r="FW68" s="32"/>
      <c r="FX68" s="32"/>
      <c r="FY68" s="32"/>
      <c r="FZ68" s="32"/>
      <c r="GA68" s="32"/>
      <c r="GB68" s="51"/>
    </row>
    <row r="69" spans="1:184" s="31" customFormat="1" ht="19.5" customHeight="1">
      <c r="A69" s="74" t="s">
        <v>116</v>
      </c>
      <c r="B69" s="268" t="s">
        <v>115</v>
      </c>
      <c r="C69" s="107">
        <f t="shared" si="18"/>
        <v>326</v>
      </c>
      <c r="D69" s="113">
        <f>35+160</f>
        <v>195</v>
      </c>
      <c r="E69" s="113">
        <f>41+90</f>
        <v>131</v>
      </c>
      <c r="F69" s="107">
        <v>0</v>
      </c>
      <c r="G69" s="107">
        <v>0</v>
      </c>
      <c r="H69" s="107">
        <f t="shared" si="19"/>
        <v>326</v>
      </c>
      <c r="I69" s="107">
        <f t="shared" si="20"/>
        <v>263</v>
      </c>
      <c r="J69" s="113">
        <f>61+6</f>
        <v>67</v>
      </c>
      <c r="K69" s="113">
        <f>2</f>
        <v>2</v>
      </c>
      <c r="L69" s="113">
        <f>156+37</f>
        <v>193</v>
      </c>
      <c r="M69" s="113">
        <v>0</v>
      </c>
      <c r="N69" s="113">
        <v>1</v>
      </c>
      <c r="O69" s="113">
        <v>0</v>
      </c>
      <c r="P69" s="113">
        <v>0</v>
      </c>
      <c r="Q69" s="113">
        <f>27+36</f>
        <v>63</v>
      </c>
      <c r="R69" s="261">
        <f t="shared" si="22"/>
        <v>257</v>
      </c>
      <c r="S69" s="108">
        <f t="shared" si="16"/>
        <v>26.23574144486692</v>
      </c>
      <c r="T69" s="47"/>
      <c r="U69" s="67"/>
      <c r="V69" s="66"/>
      <c r="W69" s="47"/>
      <c r="X69" s="65"/>
      <c r="Y69" s="64"/>
      <c r="Z69" s="64"/>
      <c r="AA69" s="64"/>
      <c r="AB69" s="64"/>
      <c r="AC69" s="64"/>
      <c r="AD69" s="64"/>
      <c r="AE69" s="64"/>
      <c r="AF69" s="64"/>
      <c r="AG69" s="64"/>
      <c r="AH69" s="64"/>
      <c r="AI69" s="64"/>
      <c r="AJ69" s="64"/>
      <c r="AK69" s="64"/>
      <c r="AL69" s="64"/>
      <c r="AM69" s="63"/>
      <c r="AN69" s="62"/>
      <c r="AO69" s="60"/>
      <c r="AP69" s="59"/>
      <c r="AQ69" s="59"/>
      <c r="AR69" s="59"/>
      <c r="AS69" s="59"/>
      <c r="AT69" s="60"/>
      <c r="AU69" s="60"/>
      <c r="AV69" s="59"/>
      <c r="AW69" s="59"/>
      <c r="AX69" s="59"/>
      <c r="AY69" s="59"/>
      <c r="AZ69" s="59"/>
      <c r="BA69" s="59"/>
      <c r="BB69" s="59"/>
      <c r="BC69" s="69"/>
      <c r="BD69" s="68"/>
      <c r="BE69" s="56"/>
      <c r="BF69" s="55"/>
      <c r="BG69" s="73"/>
      <c r="BH69" s="53"/>
      <c r="BI69" s="52"/>
      <c r="BJ69" s="32"/>
      <c r="BK69" s="32"/>
      <c r="BL69" s="32"/>
      <c r="BM69" s="32"/>
      <c r="BN69" s="32"/>
      <c r="BO69" s="32"/>
      <c r="BP69" s="32"/>
      <c r="BQ69" s="32"/>
      <c r="BR69" s="32"/>
      <c r="BS69" s="32"/>
      <c r="BT69" s="32"/>
      <c r="BU69" s="32"/>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c r="DD69" s="32"/>
      <c r="DE69" s="32"/>
      <c r="DF69" s="32"/>
      <c r="DG69" s="32"/>
      <c r="DH69" s="32"/>
      <c r="DI69" s="32"/>
      <c r="DJ69" s="32"/>
      <c r="DK69" s="32"/>
      <c r="DL69" s="32"/>
      <c r="DM69" s="32"/>
      <c r="DN69" s="32"/>
      <c r="DO69" s="32"/>
      <c r="DP69" s="32"/>
      <c r="DQ69" s="32"/>
      <c r="DR69" s="32"/>
      <c r="DS69" s="32"/>
      <c r="DT69" s="32"/>
      <c r="DU69" s="32"/>
      <c r="DV69" s="32"/>
      <c r="DW69" s="32"/>
      <c r="DX69" s="32"/>
      <c r="DY69" s="32"/>
      <c r="DZ69" s="32"/>
      <c r="EA69" s="32"/>
      <c r="EB69" s="32"/>
      <c r="EC69" s="32"/>
      <c r="ED69" s="32"/>
      <c r="EE69" s="32"/>
      <c r="EF69" s="32"/>
      <c r="EG69" s="32"/>
      <c r="EH69" s="32"/>
      <c r="EI69" s="32"/>
      <c r="EJ69" s="32"/>
      <c r="EK69" s="32"/>
      <c r="EL69" s="32"/>
      <c r="EM69" s="32"/>
      <c r="EN69" s="32"/>
      <c r="EO69" s="32"/>
      <c r="EP69" s="32"/>
      <c r="EQ69" s="32"/>
      <c r="ER69" s="32"/>
      <c r="ES69" s="32"/>
      <c r="ET69" s="32"/>
      <c r="EU69" s="32"/>
      <c r="EV69" s="32"/>
      <c r="EW69" s="32"/>
      <c r="EX69" s="32"/>
      <c r="EY69" s="32"/>
      <c r="EZ69" s="32"/>
      <c r="FA69" s="32"/>
      <c r="FB69" s="32"/>
      <c r="FC69" s="32"/>
      <c r="FD69" s="32"/>
      <c r="FE69" s="32"/>
      <c r="FF69" s="32"/>
      <c r="FG69" s="32"/>
      <c r="FH69" s="32"/>
      <c r="FI69" s="32"/>
      <c r="FJ69" s="32"/>
      <c r="FK69" s="32"/>
      <c r="FL69" s="32"/>
      <c r="FM69" s="32"/>
      <c r="FN69" s="32"/>
      <c r="FO69" s="32"/>
      <c r="FP69" s="32"/>
      <c r="FQ69" s="32"/>
      <c r="FR69" s="32"/>
      <c r="FS69" s="32"/>
      <c r="FT69" s="32"/>
      <c r="FU69" s="32"/>
      <c r="FV69" s="32"/>
      <c r="FW69" s="32"/>
      <c r="FX69" s="32"/>
      <c r="FY69" s="32"/>
      <c r="FZ69" s="32"/>
      <c r="GA69" s="32"/>
      <c r="GB69" s="51"/>
    </row>
    <row r="70" spans="1:184" s="31" customFormat="1" ht="19.5" customHeight="1">
      <c r="A70" s="74" t="s">
        <v>114</v>
      </c>
      <c r="B70" s="268" t="s">
        <v>113</v>
      </c>
      <c r="C70" s="107">
        <f t="shared" si="18"/>
        <v>153</v>
      </c>
      <c r="D70" s="113">
        <f>9+75</f>
        <v>84</v>
      </c>
      <c r="E70" s="113">
        <f>62+7</f>
        <v>69</v>
      </c>
      <c r="F70" s="107">
        <v>0</v>
      </c>
      <c r="G70" s="107">
        <v>0</v>
      </c>
      <c r="H70" s="107">
        <f t="shared" si="19"/>
        <v>153</v>
      </c>
      <c r="I70" s="107">
        <f t="shared" si="20"/>
        <v>151</v>
      </c>
      <c r="J70" s="113">
        <f>52+1</f>
        <v>53</v>
      </c>
      <c r="K70" s="113">
        <f>2</f>
        <v>2</v>
      </c>
      <c r="L70" s="113">
        <f>17+79</f>
        <v>96</v>
      </c>
      <c r="M70" s="113">
        <v>0</v>
      </c>
      <c r="N70" s="113">
        <v>0</v>
      </c>
      <c r="O70" s="113">
        <v>0</v>
      </c>
      <c r="P70" s="113">
        <v>0</v>
      </c>
      <c r="Q70" s="113">
        <v>2</v>
      </c>
      <c r="R70" s="261">
        <f t="shared" si="22"/>
        <v>98</v>
      </c>
      <c r="S70" s="108">
        <f t="shared" si="16"/>
        <v>36.423841059602644</v>
      </c>
      <c r="T70" s="47"/>
      <c r="U70" s="67"/>
      <c r="V70" s="66"/>
      <c r="W70" s="47"/>
      <c r="X70" s="65"/>
      <c r="Y70" s="64"/>
      <c r="Z70" s="64"/>
      <c r="AA70" s="64"/>
      <c r="AB70" s="64"/>
      <c r="AC70" s="64"/>
      <c r="AD70" s="64"/>
      <c r="AE70" s="64"/>
      <c r="AF70" s="64"/>
      <c r="AG70" s="64"/>
      <c r="AH70" s="64"/>
      <c r="AI70" s="64"/>
      <c r="AJ70" s="64"/>
      <c r="AK70" s="64"/>
      <c r="AL70" s="64"/>
      <c r="AM70" s="63"/>
      <c r="AN70" s="62"/>
      <c r="AO70" s="60"/>
      <c r="AP70" s="59"/>
      <c r="AQ70" s="59"/>
      <c r="AR70" s="59"/>
      <c r="AS70" s="59"/>
      <c r="AT70" s="60"/>
      <c r="AU70" s="60"/>
      <c r="AV70" s="59"/>
      <c r="AW70" s="59"/>
      <c r="AX70" s="59"/>
      <c r="AY70" s="59"/>
      <c r="AZ70" s="59"/>
      <c r="BA70" s="59"/>
      <c r="BB70" s="59"/>
      <c r="BC70" s="69"/>
      <c r="BD70" s="68"/>
      <c r="BE70" s="56"/>
      <c r="BF70" s="55"/>
      <c r="BG70" s="73"/>
      <c r="BH70" s="53"/>
      <c r="BI70" s="52"/>
      <c r="BJ70" s="32"/>
      <c r="BK70" s="32"/>
      <c r="BL70" s="32"/>
      <c r="BM70" s="32"/>
      <c r="BN70" s="32"/>
      <c r="BO70" s="32"/>
      <c r="BP70" s="32"/>
      <c r="BQ70" s="32"/>
      <c r="BR70" s="32"/>
      <c r="BS70" s="32"/>
      <c r="BT70" s="32"/>
      <c r="BU70" s="32"/>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c r="DB70" s="32"/>
      <c r="DC70" s="32"/>
      <c r="DD70" s="32"/>
      <c r="DE70" s="32"/>
      <c r="DF70" s="32"/>
      <c r="DG70" s="32"/>
      <c r="DH70" s="32"/>
      <c r="DI70" s="32"/>
      <c r="DJ70" s="32"/>
      <c r="DK70" s="32"/>
      <c r="DL70" s="32"/>
      <c r="DM70" s="32"/>
      <c r="DN70" s="32"/>
      <c r="DO70" s="32"/>
      <c r="DP70" s="32"/>
      <c r="DQ70" s="32"/>
      <c r="DR70" s="32"/>
      <c r="DS70" s="32"/>
      <c r="DT70" s="32"/>
      <c r="DU70" s="32"/>
      <c r="DV70" s="32"/>
      <c r="DW70" s="32"/>
      <c r="DX70" s="32"/>
      <c r="DY70" s="32"/>
      <c r="DZ70" s="32"/>
      <c r="EA70" s="32"/>
      <c r="EB70" s="32"/>
      <c r="EC70" s="32"/>
      <c r="ED70" s="32"/>
      <c r="EE70" s="32"/>
      <c r="EF70" s="32"/>
      <c r="EG70" s="32"/>
      <c r="EH70" s="32"/>
      <c r="EI70" s="32"/>
      <c r="EJ70" s="32"/>
      <c r="EK70" s="32"/>
      <c r="EL70" s="32"/>
      <c r="EM70" s="32"/>
      <c r="EN70" s="32"/>
      <c r="EO70" s="32"/>
      <c r="EP70" s="32"/>
      <c r="EQ70" s="32"/>
      <c r="ER70" s="32"/>
      <c r="ES70" s="32"/>
      <c r="ET70" s="32"/>
      <c r="EU70" s="32"/>
      <c r="EV70" s="32"/>
      <c r="EW70" s="32"/>
      <c r="EX70" s="32"/>
      <c r="EY70" s="32"/>
      <c r="EZ70" s="32"/>
      <c r="FA70" s="32"/>
      <c r="FB70" s="32"/>
      <c r="FC70" s="32"/>
      <c r="FD70" s="32"/>
      <c r="FE70" s="32"/>
      <c r="FF70" s="32"/>
      <c r="FG70" s="32"/>
      <c r="FH70" s="32"/>
      <c r="FI70" s="32"/>
      <c r="FJ70" s="32"/>
      <c r="FK70" s="32"/>
      <c r="FL70" s="32"/>
      <c r="FM70" s="32"/>
      <c r="FN70" s="32"/>
      <c r="FO70" s="32"/>
      <c r="FP70" s="32"/>
      <c r="FQ70" s="32"/>
      <c r="FR70" s="32"/>
      <c r="FS70" s="32"/>
      <c r="FT70" s="32"/>
      <c r="FU70" s="32"/>
      <c r="FV70" s="32"/>
      <c r="FW70" s="32"/>
      <c r="FX70" s="32"/>
      <c r="FY70" s="32"/>
      <c r="FZ70" s="32"/>
      <c r="GA70" s="32"/>
      <c r="GB70" s="51"/>
    </row>
    <row r="71" spans="1:184" s="31" customFormat="1" ht="19.5" customHeight="1">
      <c r="A71" s="74" t="s">
        <v>112</v>
      </c>
      <c r="B71" s="268" t="s">
        <v>111</v>
      </c>
      <c r="C71" s="107">
        <f t="shared" si="18"/>
        <v>279</v>
      </c>
      <c r="D71" s="113">
        <f>12+16</f>
        <v>28</v>
      </c>
      <c r="E71" s="113">
        <f>77+174</f>
        <v>251</v>
      </c>
      <c r="F71" s="107">
        <v>0</v>
      </c>
      <c r="G71" s="107">
        <v>0</v>
      </c>
      <c r="H71" s="107">
        <f t="shared" si="19"/>
        <v>279</v>
      </c>
      <c r="I71" s="107">
        <f t="shared" si="20"/>
        <v>272</v>
      </c>
      <c r="J71" s="113">
        <f>126+13</f>
        <v>139</v>
      </c>
      <c r="K71" s="113">
        <f>3</f>
        <v>3</v>
      </c>
      <c r="L71" s="113">
        <f>76+49</f>
        <v>125</v>
      </c>
      <c r="M71" s="113">
        <v>4</v>
      </c>
      <c r="N71" s="113">
        <v>0</v>
      </c>
      <c r="O71" s="113">
        <v>0</v>
      </c>
      <c r="P71" s="113">
        <v>1</v>
      </c>
      <c r="Q71" s="113">
        <v>7</v>
      </c>
      <c r="R71" s="261">
        <f t="shared" si="22"/>
        <v>137</v>
      </c>
      <c r="S71" s="108">
        <f t="shared" si="16"/>
        <v>52.20588235294118</v>
      </c>
      <c r="T71" s="47"/>
      <c r="U71" s="67"/>
      <c r="V71" s="66"/>
      <c r="W71" s="47"/>
      <c r="X71" s="65"/>
      <c r="Y71" s="64"/>
      <c r="Z71" s="64"/>
      <c r="AA71" s="64"/>
      <c r="AB71" s="64"/>
      <c r="AC71" s="64"/>
      <c r="AD71" s="64"/>
      <c r="AE71" s="64"/>
      <c r="AF71" s="64"/>
      <c r="AG71" s="64"/>
      <c r="AH71" s="64"/>
      <c r="AI71" s="64"/>
      <c r="AJ71" s="64"/>
      <c r="AK71" s="64"/>
      <c r="AL71" s="64"/>
      <c r="AM71" s="63"/>
      <c r="AN71" s="62"/>
      <c r="AO71" s="60"/>
      <c r="AP71" s="59"/>
      <c r="AQ71" s="59"/>
      <c r="AR71" s="59"/>
      <c r="AS71" s="59"/>
      <c r="AT71" s="60"/>
      <c r="AU71" s="60"/>
      <c r="AV71" s="59"/>
      <c r="AW71" s="59"/>
      <c r="AX71" s="59"/>
      <c r="AY71" s="59"/>
      <c r="AZ71" s="59"/>
      <c r="BA71" s="59"/>
      <c r="BB71" s="59"/>
      <c r="BC71" s="69"/>
      <c r="BD71" s="68"/>
      <c r="BE71" s="56"/>
      <c r="BF71" s="55"/>
      <c r="BG71" s="73"/>
      <c r="BH71" s="53"/>
      <c r="BI71" s="52"/>
      <c r="BJ71" s="32"/>
      <c r="BK71" s="32"/>
      <c r="BL71" s="32"/>
      <c r="BM71" s="32"/>
      <c r="BN71" s="32"/>
      <c r="BO71" s="32"/>
      <c r="BP71" s="32"/>
      <c r="BQ71" s="32"/>
      <c r="BR71" s="32"/>
      <c r="BS71" s="32"/>
      <c r="BT71" s="32"/>
      <c r="BU71" s="32"/>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c r="DB71" s="32"/>
      <c r="DC71" s="32"/>
      <c r="DD71" s="32"/>
      <c r="DE71" s="32"/>
      <c r="DF71" s="32"/>
      <c r="DG71" s="32"/>
      <c r="DH71" s="32"/>
      <c r="DI71" s="32"/>
      <c r="DJ71" s="32"/>
      <c r="DK71" s="32"/>
      <c r="DL71" s="32"/>
      <c r="DM71" s="32"/>
      <c r="DN71" s="32"/>
      <c r="DO71" s="32"/>
      <c r="DP71" s="32"/>
      <c r="DQ71" s="32"/>
      <c r="DR71" s="32"/>
      <c r="DS71" s="32"/>
      <c r="DT71" s="32"/>
      <c r="DU71" s="32"/>
      <c r="DV71" s="32"/>
      <c r="DW71" s="32"/>
      <c r="DX71" s="32"/>
      <c r="DY71" s="32"/>
      <c r="DZ71" s="32"/>
      <c r="EA71" s="32"/>
      <c r="EB71" s="32"/>
      <c r="EC71" s="32"/>
      <c r="ED71" s="32"/>
      <c r="EE71" s="32"/>
      <c r="EF71" s="32"/>
      <c r="EG71" s="32"/>
      <c r="EH71" s="32"/>
      <c r="EI71" s="32"/>
      <c r="EJ71" s="32"/>
      <c r="EK71" s="32"/>
      <c r="EL71" s="32"/>
      <c r="EM71" s="32"/>
      <c r="EN71" s="32"/>
      <c r="EO71" s="32"/>
      <c r="EP71" s="32"/>
      <c r="EQ71" s="32"/>
      <c r="ER71" s="32"/>
      <c r="ES71" s="32"/>
      <c r="ET71" s="32"/>
      <c r="EU71" s="32"/>
      <c r="EV71" s="32"/>
      <c r="EW71" s="32"/>
      <c r="EX71" s="32"/>
      <c r="EY71" s="32"/>
      <c r="EZ71" s="32"/>
      <c r="FA71" s="32"/>
      <c r="FB71" s="32"/>
      <c r="FC71" s="32"/>
      <c r="FD71" s="32"/>
      <c r="FE71" s="32"/>
      <c r="FF71" s="32"/>
      <c r="FG71" s="32"/>
      <c r="FH71" s="32"/>
      <c r="FI71" s="32"/>
      <c r="FJ71" s="32"/>
      <c r="FK71" s="32"/>
      <c r="FL71" s="32"/>
      <c r="FM71" s="32"/>
      <c r="FN71" s="32"/>
      <c r="FO71" s="32"/>
      <c r="FP71" s="32"/>
      <c r="FQ71" s="32"/>
      <c r="FR71" s="32"/>
      <c r="FS71" s="32"/>
      <c r="FT71" s="32"/>
      <c r="FU71" s="32"/>
      <c r="FV71" s="32"/>
      <c r="FW71" s="32"/>
      <c r="FX71" s="32"/>
      <c r="FY71" s="32"/>
      <c r="FZ71" s="32"/>
      <c r="GA71" s="32"/>
      <c r="GB71" s="51"/>
    </row>
    <row r="72" spans="1:184" s="31" customFormat="1" ht="19.5" customHeight="1">
      <c r="A72" s="254" t="s">
        <v>44</v>
      </c>
      <c r="B72" s="254" t="s">
        <v>110</v>
      </c>
      <c r="C72" s="107">
        <f t="shared" si="18"/>
        <v>717</v>
      </c>
      <c r="D72" s="107">
        <f>SUM(D73:D76)</f>
        <v>294</v>
      </c>
      <c r="E72" s="107">
        <f>SUM(E73:E76)</f>
        <v>423</v>
      </c>
      <c r="F72" s="107">
        <f>SUM(F73:F76)</f>
        <v>6</v>
      </c>
      <c r="G72" s="107">
        <f>SUM(G73:G76)</f>
        <v>0</v>
      </c>
      <c r="H72" s="107">
        <f>I72+Q72</f>
        <v>711</v>
      </c>
      <c r="I72" s="107">
        <f aca="true" t="shared" si="27" ref="I72:Q72">SUM(I73:I76)</f>
        <v>666</v>
      </c>
      <c r="J72" s="107">
        <f t="shared" si="27"/>
        <v>334</v>
      </c>
      <c r="K72" s="107">
        <f t="shared" si="27"/>
        <v>0</v>
      </c>
      <c r="L72" s="107">
        <f t="shared" si="27"/>
        <v>229</v>
      </c>
      <c r="M72" s="107">
        <f t="shared" si="27"/>
        <v>13</v>
      </c>
      <c r="N72" s="107">
        <f t="shared" si="27"/>
        <v>0</v>
      </c>
      <c r="O72" s="107">
        <f t="shared" si="27"/>
        <v>0</v>
      </c>
      <c r="P72" s="107">
        <f t="shared" si="27"/>
        <v>90</v>
      </c>
      <c r="Q72" s="107">
        <f t="shared" si="27"/>
        <v>45</v>
      </c>
      <c r="R72" s="261">
        <f t="shared" si="22"/>
        <v>377</v>
      </c>
      <c r="S72" s="108">
        <f t="shared" si="16"/>
        <v>50.150150150150154</v>
      </c>
      <c r="T72" s="47"/>
      <c r="U72" s="67"/>
      <c r="V72" s="66"/>
      <c r="W72" s="47"/>
      <c r="X72" s="65"/>
      <c r="Y72" s="64"/>
      <c r="Z72" s="64"/>
      <c r="AA72" s="64"/>
      <c r="AB72" s="64"/>
      <c r="AC72" s="64"/>
      <c r="AD72" s="64"/>
      <c r="AE72" s="64"/>
      <c r="AF72" s="64"/>
      <c r="AG72" s="64"/>
      <c r="AH72" s="64"/>
      <c r="AI72" s="64"/>
      <c r="AJ72" s="64"/>
      <c r="AK72" s="64"/>
      <c r="AL72" s="64"/>
      <c r="AM72" s="72"/>
      <c r="AN72" s="71"/>
      <c r="AO72" s="60"/>
      <c r="AP72" s="60"/>
      <c r="AQ72" s="60"/>
      <c r="AR72" s="60"/>
      <c r="AS72" s="60"/>
      <c r="AT72" s="60"/>
      <c r="AU72" s="60"/>
      <c r="AV72" s="60"/>
      <c r="AW72" s="60"/>
      <c r="AX72" s="60"/>
      <c r="AY72" s="60"/>
      <c r="AZ72" s="60"/>
      <c r="BA72" s="60"/>
      <c r="BB72" s="60"/>
      <c r="BC72" s="60"/>
      <c r="BD72" s="60"/>
      <c r="BE72" s="56"/>
      <c r="BF72" s="55"/>
      <c r="BG72" s="54"/>
      <c r="BH72" s="53"/>
      <c r="BI72" s="52"/>
      <c r="BJ72" s="32"/>
      <c r="BK72" s="32"/>
      <c r="BL72" s="32"/>
      <c r="BM72" s="32"/>
      <c r="BN72" s="32"/>
      <c r="BO72" s="32"/>
      <c r="BP72" s="32"/>
      <c r="BQ72" s="32"/>
      <c r="BR72" s="32"/>
      <c r="BS72" s="32"/>
      <c r="BT72" s="32"/>
      <c r="BU72" s="32"/>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c r="DB72" s="32"/>
      <c r="DC72" s="32"/>
      <c r="DD72" s="32"/>
      <c r="DE72" s="32"/>
      <c r="DF72" s="32"/>
      <c r="DG72" s="32"/>
      <c r="DH72" s="32"/>
      <c r="DI72" s="32"/>
      <c r="DJ72" s="32"/>
      <c r="DK72" s="32"/>
      <c r="DL72" s="32"/>
      <c r="DM72" s="32"/>
      <c r="DN72" s="32"/>
      <c r="DO72" s="32"/>
      <c r="DP72" s="32"/>
      <c r="DQ72" s="32"/>
      <c r="DR72" s="32"/>
      <c r="DS72" s="32"/>
      <c r="DT72" s="32"/>
      <c r="DU72" s="32"/>
      <c r="DV72" s="32"/>
      <c r="DW72" s="32"/>
      <c r="DX72" s="32"/>
      <c r="DY72" s="32"/>
      <c r="DZ72" s="32"/>
      <c r="EA72" s="32"/>
      <c r="EB72" s="32"/>
      <c r="EC72" s="32"/>
      <c r="ED72" s="32"/>
      <c r="EE72" s="32"/>
      <c r="EF72" s="32"/>
      <c r="EG72" s="32"/>
      <c r="EH72" s="32"/>
      <c r="EI72" s="32"/>
      <c r="EJ72" s="32"/>
      <c r="EK72" s="32"/>
      <c r="EL72" s="32"/>
      <c r="EM72" s="32"/>
      <c r="EN72" s="32"/>
      <c r="EO72" s="32"/>
      <c r="EP72" s="32"/>
      <c r="EQ72" s="32"/>
      <c r="ER72" s="32"/>
      <c r="ES72" s="32"/>
      <c r="ET72" s="32"/>
      <c r="EU72" s="32"/>
      <c r="EV72" s="32"/>
      <c r="EW72" s="32"/>
      <c r="EX72" s="32"/>
      <c r="EY72" s="32"/>
      <c r="EZ72" s="32"/>
      <c r="FA72" s="32"/>
      <c r="FB72" s="32"/>
      <c r="FC72" s="32"/>
      <c r="FD72" s="32"/>
      <c r="FE72" s="32"/>
      <c r="FF72" s="32"/>
      <c r="FG72" s="32"/>
      <c r="FH72" s="32"/>
      <c r="FI72" s="32"/>
      <c r="FJ72" s="32"/>
      <c r="FK72" s="32"/>
      <c r="FL72" s="32"/>
      <c r="FM72" s="32"/>
      <c r="FN72" s="32"/>
      <c r="FO72" s="32"/>
      <c r="FP72" s="32"/>
      <c r="FQ72" s="32"/>
      <c r="FR72" s="32"/>
      <c r="FS72" s="32"/>
      <c r="FT72" s="32"/>
      <c r="FU72" s="32"/>
      <c r="FV72" s="32"/>
      <c r="FW72" s="32"/>
      <c r="FX72" s="32"/>
      <c r="FY72" s="32"/>
      <c r="FZ72" s="32"/>
      <c r="GA72" s="32"/>
      <c r="GB72" s="51"/>
    </row>
    <row r="73" spans="1:184" s="31" customFormat="1" ht="19.5" customHeight="1">
      <c r="A73" s="74" t="s">
        <v>109</v>
      </c>
      <c r="B73" s="74" t="s">
        <v>108</v>
      </c>
      <c r="C73" s="107">
        <f t="shared" si="18"/>
        <v>0</v>
      </c>
      <c r="D73" s="107">
        <v>0</v>
      </c>
      <c r="E73" s="112">
        <v>0</v>
      </c>
      <c r="F73" s="112">
        <v>0</v>
      </c>
      <c r="G73" s="107">
        <v>0</v>
      </c>
      <c r="H73" s="107">
        <f>I73+Q73</f>
        <v>0</v>
      </c>
      <c r="I73" s="107">
        <f>SUM(J73:P73)</f>
        <v>0</v>
      </c>
      <c r="J73" s="112">
        <v>0</v>
      </c>
      <c r="K73" s="112">
        <v>0</v>
      </c>
      <c r="L73" s="112">
        <v>0</v>
      </c>
      <c r="M73" s="112">
        <v>0</v>
      </c>
      <c r="N73" s="112">
        <v>0</v>
      </c>
      <c r="O73" s="112">
        <v>0</v>
      </c>
      <c r="P73" s="112">
        <v>0</v>
      </c>
      <c r="Q73" s="112">
        <v>0</v>
      </c>
      <c r="R73" s="261">
        <f t="shared" si="22"/>
        <v>0</v>
      </c>
      <c r="S73" s="108" t="e">
        <f t="shared" si="16"/>
        <v>#DIV/0!</v>
      </c>
      <c r="T73" s="47"/>
      <c r="U73" s="67"/>
      <c r="V73" s="66"/>
      <c r="W73" s="47"/>
      <c r="X73" s="65"/>
      <c r="Y73" s="64"/>
      <c r="Z73" s="64"/>
      <c r="AA73" s="64"/>
      <c r="AB73" s="64"/>
      <c r="AC73" s="64"/>
      <c r="AD73" s="64"/>
      <c r="AE73" s="64"/>
      <c r="AF73" s="64"/>
      <c r="AG73" s="64"/>
      <c r="AH73" s="64"/>
      <c r="AI73" s="64"/>
      <c r="AJ73" s="64"/>
      <c r="AK73" s="64"/>
      <c r="AL73" s="64"/>
      <c r="AM73" s="63"/>
      <c r="AN73" s="70"/>
      <c r="AO73" s="60"/>
      <c r="AP73" s="59"/>
      <c r="AQ73" s="59"/>
      <c r="AR73" s="59"/>
      <c r="AS73" s="59"/>
      <c r="AT73" s="60"/>
      <c r="AU73" s="60"/>
      <c r="AV73" s="59"/>
      <c r="AW73" s="59"/>
      <c r="AX73" s="59"/>
      <c r="AY73" s="59"/>
      <c r="AZ73" s="59"/>
      <c r="BA73" s="59"/>
      <c r="BB73" s="59"/>
      <c r="BC73" s="69"/>
      <c r="BD73" s="68"/>
      <c r="BE73" s="56"/>
      <c r="BF73" s="55"/>
      <c r="BG73" s="54"/>
      <c r="BH73" s="53"/>
      <c r="BI73" s="52"/>
      <c r="BJ73" s="32"/>
      <c r="BK73" s="32"/>
      <c r="BL73" s="32"/>
      <c r="BM73" s="32"/>
      <c r="BN73" s="32"/>
      <c r="BO73" s="32"/>
      <c r="BP73" s="32"/>
      <c r="BQ73" s="32"/>
      <c r="BR73" s="32"/>
      <c r="BS73" s="32"/>
      <c r="BT73" s="32"/>
      <c r="BU73" s="32"/>
      <c r="BV73" s="32"/>
      <c r="BW73" s="32"/>
      <c r="BX73" s="32"/>
      <c r="BY73" s="32"/>
      <c r="BZ73" s="32"/>
      <c r="CA73" s="32"/>
      <c r="CB73" s="32"/>
      <c r="CC73" s="32"/>
      <c r="CD73" s="32"/>
      <c r="CE73" s="32"/>
      <c r="CF73" s="32"/>
      <c r="CG73" s="32"/>
      <c r="CH73" s="32"/>
      <c r="CI73" s="32"/>
      <c r="CJ73" s="32"/>
      <c r="CK73" s="32"/>
      <c r="CL73" s="32"/>
      <c r="CM73" s="32"/>
      <c r="CN73" s="32"/>
      <c r="CO73" s="32"/>
      <c r="CP73" s="32"/>
      <c r="CQ73" s="32"/>
      <c r="CR73" s="32"/>
      <c r="CS73" s="32"/>
      <c r="CT73" s="32"/>
      <c r="CU73" s="32"/>
      <c r="CV73" s="32"/>
      <c r="CW73" s="32"/>
      <c r="CX73" s="32"/>
      <c r="CY73" s="32"/>
      <c r="CZ73" s="32"/>
      <c r="DA73" s="32"/>
      <c r="DB73" s="32"/>
      <c r="DC73" s="32"/>
      <c r="DD73" s="32"/>
      <c r="DE73" s="32"/>
      <c r="DF73" s="32"/>
      <c r="DG73" s="32"/>
      <c r="DH73" s="32"/>
      <c r="DI73" s="32"/>
      <c r="DJ73" s="32"/>
      <c r="DK73" s="32"/>
      <c r="DL73" s="32"/>
      <c r="DM73" s="32"/>
      <c r="DN73" s="32"/>
      <c r="DO73" s="32"/>
      <c r="DP73" s="32"/>
      <c r="DQ73" s="32"/>
      <c r="DR73" s="32"/>
      <c r="DS73" s="32"/>
      <c r="DT73" s="32"/>
      <c r="DU73" s="32"/>
      <c r="DV73" s="32"/>
      <c r="DW73" s="32"/>
      <c r="DX73" s="32"/>
      <c r="DY73" s="32"/>
      <c r="DZ73" s="32"/>
      <c r="EA73" s="32"/>
      <c r="EB73" s="32"/>
      <c r="EC73" s="32"/>
      <c r="ED73" s="32"/>
      <c r="EE73" s="32"/>
      <c r="EF73" s="32"/>
      <c r="EG73" s="32"/>
      <c r="EH73" s="32"/>
      <c r="EI73" s="32"/>
      <c r="EJ73" s="32"/>
      <c r="EK73" s="32"/>
      <c r="EL73" s="32"/>
      <c r="EM73" s="32"/>
      <c r="EN73" s="32"/>
      <c r="EO73" s="32"/>
      <c r="EP73" s="32"/>
      <c r="EQ73" s="32"/>
      <c r="ER73" s="32"/>
      <c r="ES73" s="32"/>
      <c r="ET73" s="32"/>
      <c r="EU73" s="32"/>
      <c r="EV73" s="32"/>
      <c r="EW73" s="32"/>
      <c r="EX73" s="32"/>
      <c r="EY73" s="32"/>
      <c r="EZ73" s="32"/>
      <c r="FA73" s="32"/>
      <c r="FB73" s="32"/>
      <c r="FC73" s="32"/>
      <c r="FD73" s="32"/>
      <c r="FE73" s="32"/>
      <c r="FF73" s="32"/>
      <c r="FG73" s="32"/>
      <c r="FH73" s="32"/>
      <c r="FI73" s="32"/>
      <c r="FJ73" s="32"/>
      <c r="FK73" s="32"/>
      <c r="FL73" s="32"/>
      <c r="FM73" s="32"/>
      <c r="FN73" s="32"/>
      <c r="FO73" s="32"/>
      <c r="FP73" s="32"/>
      <c r="FQ73" s="32"/>
      <c r="FR73" s="32"/>
      <c r="FS73" s="32"/>
      <c r="FT73" s="32"/>
      <c r="FU73" s="32"/>
      <c r="FV73" s="32"/>
      <c r="FW73" s="32"/>
      <c r="FX73" s="32"/>
      <c r="FY73" s="32"/>
      <c r="FZ73" s="32"/>
      <c r="GA73" s="32"/>
      <c r="GB73" s="51"/>
    </row>
    <row r="74" spans="1:184" s="31" customFormat="1" ht="19.5" customHeight="1">
      <c r="A74" s="74" t="s">
        <v>107</v>
      </c>
      <c r="B74" s="74" t="s">
        <v>106</v>
      </c>
      <c r="C74" s="107">
        <f t="shared" si="18"/>
        <v>208</v>
      </c>
      <c r="D74" s="269">
        <v>99</v>
      </c>
      <c r="E74" s="269">
        <v>109</v>
      </c>
      <c r="F74" s="112">
        <v>0</v>
      </c>
      <c r="G74" s="107">
        <v>0</v>
      </c>
      <c r="H74" s="107">
        <f>I74+Q74</f>
        <v>208</v>
      </c>
      <c r="I74" s="107">
        <f>SUM(J74:P74)</f>
        <v>196</v>
      </c>
      <c r="J74" s="269">
        <v>89</v>
      </c>
      <c r="K74" s="112">
        <v>0</v>
      </c>
      <c r="L74" s="269">
        <v>65</v>
      </c>
      <c r="M74" s="269">
        <v>6</v>
      </c>
      <c r="N74" s="112">
        <v>0</v>
      </c>
      <c r="O74" s="112">
        <v>0</v>
      </c>
      <c r="P74" s="270">
        <v>36</v>
      </c>
      <c r="Q74" s="96">
        <v>12</v>
      </c>
      <c r="R74" s="261">
        <f t="shared" si="22"/>
        <v>119</v>
      </c>
      <c r="S74" s="108">
        <f t="shared" si="16"/>
        <v>45.40816326530612</v>
      </c>
      <c r="T74" s="47"/>
      <c r="U74" s="67"/>
      <c r="V74" s="66"/>
      <c r="W74" s="47"/>
      <c r="X74" s="65"/>
      <c r="Y74" s="64"/>
      <c r="Z74" s="64"/>
      <c r="AA74" s="64"/>
      <c r="AB74" s="64"/>
      <c r="AC74" s="64"/>
      <c r="AD74" s="64"/>
      <c r="AE74" s="64"/>
      <c r="AF74" s="64"/>
      <c r="AG74" s="64"/>
      <c r="AH74" s="64"/>
      <c r="AI74" s="64"/>
      <c r="AJ74" s="64"/>
      <c r="AK74" s="64"/>
      <c r="AL74" s="64"/>
      <c r="AM74" s="63"/>
      <c r="AN74" s="62"/>
      <c r="AO74" s="60"/>
      <c r="AP74" s="61"/>
      <c r="AQ74" s="58"/>
      <c r="AR74" s="59"/>
      <c r="AS74" s="59"/>
      <c r="AT74" s="60"/>
      <c r="AU74" s="60"/>
      <c r="AV74" s="58"/>
      <c r="AW74" s="59"/>
      <c r="AX74" s="59"/>
      <c r="AY74" s="58"/>
      <c r="AZ74" s="58"/>
      <c r="BA74" s="59"/>
      <c r="BB74" s="59"/>
      <c r="BC74" s="58"/>
      <c r="BD74" s="57"/>
      <c r="BE74" s="56"/>
      <c r="BF74" s="55"/>
      <c r="BG74" s="54"/>
      <c r="BH74" s="53"/>
      <c r="BI74" s="52"/>
      <c r="BJ74" s="32"/>
      <c r="BK74" s="32"/>
      <c r="BL74" s="32"/>
      <c r="BM74" s="32"/>
      <c r="BN74" s="32"/>
      <c r="BO74" s="32"/>
      <c r="BP74" s="32"/>
      <c r="BQ74" s="32"/>
      <c r="BR74" s="32"/>
      <c r="BS74" s="32"/>
      <c r="BT74" s="32"/>
      <c r="BU74" s="32"/>
      <c r="BV74" s="32"/>
      <c r="BW74" s="32"/>
      <c r="BX74" s="32"/>
      <c r="BY74" s="32"/>
      <c r="BZ74" s="32"/>
      <c r="CA74" s="32"/>
      <c r="CB74" s="32"/>
      <c r="CC74" s="32"/>
      <c r="CD74" s="32"/>
      <c r="CE74" s="32"/>
      <c r="CF74" s="32"/>
      <c r="CG74" s="32"/>
      <c r="CH74" s="32"/>
      <c r="CI74" s="32"/>
      <c r="CJ74" s="32"/>
      <c r="CK74" s="32"/>
      <c r="CL74" s="32"/>
      <c r="CM74" s="32"/>
      <c r="CN74" s="32"/>
      <c r="CO74" s="32"/>
      <c r="CP74" s="32"/>
      <c r="CQ74" s="32"/>
      <c r="CR74" s="32"/>
      <c r="CS74" s="32"/>
      <c r="CT74" s="32"/>
      <c r="CU74" s="32"/>
      <c r="CV74" s="32"/>
      <c r="CW74" s="32"/>
      <c r="CX74" s="32"/>
      <c r="CY74" s="32"/>
      <c r="CZ74" s="32"/>
      <c r="DA74" s="32"/>
      <c r="DB74" s="32"/>
      <c r="DC74" s="32"/>
      <c r="DD74" s="32"/>
      <c r="DE74" s="32"/>
      <c r="DF74" s="32"/>
      <c r="DG74" s="32"/>
      <c r="DH74" s="32"/>
      <c r="DI74" s="32"/>
      <c r="DJ74" s="32"/>
      <c r="DK74" s="32"/>
      <c r="DL74" s="32"/>
      <c r="DM74" s="32"/>
      <c r="DN74" s="32"/>
      <c r="DO74" s="32"/>
      <c r="DP74" s="32"/>
      <c r="DQ74" s="32"/>
      <c r="DR74" s="32"/>
      <c r="DS74" s="32"/>
      <c r="DT74" s="32"/>
      <c r="DU74" s="32"/>
      <c r="DV74" s="32"/>
      <c r="DW74" s="32"/>
      <c r="DX74" s="32"/>
      <c r="DY74" s="32"/>
      <c r="DZ74" s="32"/>
      <c r="EA74" s="32"/>
      <c r="EB74" s="32"/>
      <c r="EC74" s="32"/>
      <c r="ED74" s="32"/>
      <c r="EE74" s="32"/>
      <c r="EF74" s="32"/>
      <c r="EG74" s="32"/>
      <c r="EH74" s="32"/>
      <c r="EI74" s="32"/>
      <c r="EJ74" s="32"/>
      <c r="EK74" s="32"/>
      <c r="EL74" s="32"/>
      <c r="EM74" s="32"/>
      <c r="EN74" s="32"/>
      <c r="EO74" s="32"/>
      <c r="EP74" s="32"/>
      <c r="EQ74" s="32"/>
      <c r="ER74" s="32"/>
      <c r="ES74" s="32"/>
      <c r="ET74" s="32"/>
      <c r="EU74" s="32"/>
      <c r="EV74" s="32"/>
      <c r="EW74" s="32"/>
      <c r="EX74" s="32"/>
      <c r="EY74" s="32"/>
      <c r="EZ74" s="32"/>
      <c r="FA74" s="32"/>
      <c r="FB74" s="32"/>
      <c r="FC74" s="32"/>
      <c r="FD74" s="32"/>
      <c r="FE74" s="32"/>
      <c r="FF74" s="32"/>
      <c r="FG74" s="32"/>
      <c r="FH74" s="32"/>
      <c r="FI74" s="32"/>
      <c r="FJ74" s="32"/>
      <c r="FK74" s="32"/>
      <c r="FL74" s="32"/>
      <c r="FM74" s="32"/>
      <c r="FN74" s="32"/>
      <c r="FO74" s="32"/>
      <c r="FP74" s="32"/>
      <c r="FQ74" s="32"/>
      <c r="FR74" s="32"/>
      <c r="FS74" s="32"/>
      <c r="FT74" s="32"/>
      <c r="FU74" s="32"/>
      <c r="FV74" s="32"/>
      <c r="FW74" s="32"/>
      <c r="FX74" s="32"/>
      <c r="FY74" s="32"/>
      <c r="FZ74" s="32"/>
      <c r="GA74" s="32"/>
      <c r="GB74" s="51"/>
    </row>
    <row r="75" spans="1:184" s="31" customFormat="1" ht="19.5" customHeight="1">
      <c r="A75" s="74" t="s">
        <v>105</v>
      </c>
      <c r="B75" s="74" t="s">
        <v>104</v>
      </c>
      <c r="C75" s="107">
        <f t="shared" si="18"/>
        <v>233</v>
      </c>
      <c r="D75" s="269">
        <v>95</v>
      </c>
      <c r="E75" s="269">
        <v>138</v>
      </c>
      <c r="F75" s="112">
        <v>0</v>
      </c>
      <c r="G75" s="107">
        <v>0</v>
      </c>
      <c r="H75" s="107">
        <f>I75+Q75</f>
        <v>233</v>
      </c>
      <c r="I75" s="107">
        <f>SUM(J75:P75)</f>
        <v>216</v>
      </c>
      <c r="J75" s="269">
        <v>113</v>
      </c>
      <c r="K75" s="112">
        <v>0</v>
      </c>
      <c r="L75" s="269">
        <v>77</v>
      </c>
      <c r="M75" s="269">
        <v>4</v>
      </c>
      <c r="N75" s="112">
        <v>0</v>
      </c>
      <c r="O75" s="112">
        <v>0</v>
      </c>
      <c r="P75" s="270">
        <v>22</v>
      </c>
      <c r="Q75" s="96">
        <v>17</v>
      </c>
      <c r="R75" s="261">
        <f t="shared" si="22"/>
        <v>120</v>
      </c>
      <c r="S75" s="108">
        <f t="shared" si="16"/>
        <v>52.31481481481482</v>
      </c>
      <c r="T75" s="47"/>
      <c r="U75" s="67"/>
      <c r="V75" s="66"/>
      <c r="W75" s="47"/>
      <c r="X75" s="65"/>
      <c r="Y75" s="64"/>
      <c r="Z75" s="64"/>
      <c r="AA75" s="64"/>
      <c r="AB75" s="64"/>
      <c r="AC75" s="64"/>
      <c r="AD75" s="64"/>
      <c r="AE75" s="64"/>
      <c r="AF75" s="64"/>
      <c r="AG75" s="64"/>
      <c r="AH75" s="64"/>
      <c r="AI75" s="64"/>
      <c r="AJ75" s="64"/>
      <c r="AK75" s="64"/>
      <c r="AL75" s="64"/>
      <c r="AM75" s="63"/>
      <c r="AN75" s="62"/>
      <c r="AO75" s="60"/>
      <c r="AP75" s="61"/>
      <c r="AQ75" s="58"/>
      <c r="AR75" s="59"/>
      <c r="AS75" s="59"/>
      <c r="AT75" s="60"/>
      <c r="AU75" s="60"/>
      <c r="AV75" s="58"/>
      <c r="AW75" s="59"/>
      <c r="AX75" s="59"/>
      <c r="AY75" s="58"/>
      <c r="AZ75" s="58"/>
      <c r="BA75" s="59"/>
      <c r="BB75" s="59"/>
      <c r="BC75" s="58"/>
      <c r="BD75" s="57"/>
      <c r="BE75" s="56"/>
      <c r="BF75" s="55"/>
      <c r="BG75" s="54"/>
      <c r="BH75" s="53"/>
      <c r="BI75" s="52"/>
      <c r="BJ75" s="32"/>
      <c r="BK75" s="32"/>
      <c r="BL75" s="32"/>
      <c r="BM75" s="32"/>
      <c r="BN75" s="32"/>
      <c r="BO75" s="32"/>
      <c r="BP75" s="32"/>
      <c r="BQ75" s="32"/>
      <c r="BR75" s="32"/>
      <c r="BS75" s="32"/>
      <c r="BT75" s="32"/>
      <c r="BU75" s="32"/>
      <c r="BV75" s="32"/>
      <c r="BW75" s="32"/>
      <c r="BX75" s="32"/>
      <c r="BY75" s="32"/>
      <c r="BZ75" s="32"/>
      <c r="CA75" s="32"/>
      <c r="CB75" s="32"/>
      <c r="CC75" s="32"/>
      <c r="CD75" s="32"/>
      <c r="CE75" s="32"/>
      <c r="CF75" s="32"/>
      <c r="CG75" s="32"/>
      <c r="CH75" s="32"/>
      <c r="CI75" s="32"/>
      <c r="CJ75" s="32"/>
      <c r="CK75" s="32"/>
      <c r="CL75" s="32"/>
      <c r="CM75" s="32"/>
      <c r="CN75" s="32"/>
      <c r="CO75" s="32"/>
      <c r="CP75" s="32"/>
      <c r="CQ75" s="32"/>
      <c r="CR75" s="32"/>
      <c r="CS75" s="32"/>
      <c r="CT75" s="32"/>
      <c r="CU75" s="32"/>
      <c r="CV75" s="32"/>
      <c r="CW75" s="32"/>
      <c r="CX75" s="32"/>
      <c r="CY75" s="32"/>
      <c r="CZ75" s="32"/>
      <c r="DA75" s="32"/>
      <c r="DB75" s="32"/>
      <c r="DC75" s="32"/>
      <c r="DD75" s="32"/>
      <c r="DE75" s="32"/>
      <c r="DF75" s="32"/>
      <c r="DG75" s="32"/>
      <c r="DH75" s="32"/>
      <c r="DI75" s="32"/>
      <c r="DJ75" s="32"/>
      <c r="DK75" s="32"/>
      <c r="DL75" s="32"/>
      <c r="DM75" s="32"/>
      <c r="DN75" s="32"/>
      <c r="DO75" s="32"/>
      <c r="DP75" s="32"/>
      <c r="DQ75" s="32"/>
      <c r="DR75" s="32"/>
      <c r="DS75" s="32"/>
      <c r="DT75" s="32"/>
      <c r="DU75" s="32"/>
      <c r="DV75" s="32"/>
      <c r="DW75" s="32"/>
      <c r="DX75" s="32"/>
      <c r="DY75" s="32"/>
      <c r="DZ75" s="32"/>
      <c r="EA75" s="32"/>
      <c r="EB75" s="32"/>
      <c r="EC75" s="32"/>
      <c r="ED75" s="32"/>
      <c r="EE75" s="32"/>
      <c r="EF75" s="32"/>
      <c r="EG75" s="32"/>
      <c r="EH75" s="32"/>
      <c r="EI75" s="32"/>
      <c r="EJ75" s="32"/>
      <c r="EK75" s="32"/>
      <c r="EL75" s="32"/>
      <c r="EM75" s="32"/>
      <c r="EN75" s="32"/>
      <c r="EO75" s="32"/>
      <c r="EP75" s="32"/>
      <c r="EQ75" s="32"/>
      <c r="ER75" s="32"/>
      <c r="ES75" s="32"/>
      <c r="ET75" s="32"/>
      <c r="EU75" s="32"/>
      <c r="EV75" s="32"/>
      <c r="EW75" s="32"/>
      <c r="EX75" s="32"/>
      <c r="EY75" s="32"/>
      <c r="EZ75" s="32"/>
      <c r="FA75" s="32"/>
      <c r="FB75" s="32"/>
      <c r="FC75" s="32"/>
      <c r="FD75" s="32"/>
      <c r="FE75" s="32"/>
      <c r="FF75" s="32"/>
      <c r="FG75" s="32"/>
      <c r="FH75" s="32"/>
      <c r="FI75" s="32"/>
      <c r="FJ75" s="32"/>
      <c r="FK75" s="32"/>
      <c r="FL75" s="32"/>
      <c r="FM75" s="32"/>
      <c r="FN75" s="32"/>
      <c r="FO75" s="32"/>
      <c r="FP75" s="32"/>
      <c r="FQ75" s="32"/>
      <c r="FR75" s="32"/>
      <c r="FS75" s="32"/>
      <c r="FT75" s="32"/>
      <c r="FU75" s="32"/>
      <c r="FV75" s="32"/>
      <c r="FW75" s="32"/>
      <c r="FX75" s="32"/>
      <c r="FY75" s="32"/>
      <c r="FZ75" s="32"/>
      <c r="GA75" s="32"/>
      <c r="GB75" s="51"/>
    </row>
    <row r="76" spans="1:184" s="31" customFormat="1" ht="19.5" customHeight="1">
      <c r="A76" s="74" t="s">
        <v>103</v>
      </c>
      <c r="B76" s="74" t="s">
        <v>102</v>
      </c>
      <c r="C76" s="107">
        <f t="shared" si="18"/>
        <v>276</v>
      </c>
      <c r="D76" s="269">
        <v>100</v>
      </c>
      <c r="E76" s="269">
        <v>176</v>
      </c>
      <c r="F76" s="269">
        <v>6</v>
      </c>
      <c r="G76" s="107">
        <v>0</v>
      </c>
      <c r="H76" s="107">
        <f>I76+Q76</f>
        <v>270</v>
      </c>
      <c r="I76" s="107">
        <f>SUM(J76:P76)</f>
        <v>254</v>
      </c>
      <c r="J76" s="269">
        <v>132</v>
      </c>
      <c r="K76" s="112">
        <v>0</v>
      </c>
      <c r="L76" s="269">
        <v>87</v>
      </c>
      <c r="M76" s="269">
        <v>3</v>
      </c>
      <c r="N76" s="112">
        <v>0</v>
      </c>
      <c r="O76" s="112">
        <v>0</v>
      </c>
      <c r="P76" s="270">
        <v>32</v>
      </c>
      <c r="Q76" s="96">
        <v>16</v>
      </c>
      <c r="R76" s="261">
        <f t="shared" si="22"/>
        <v>138</v>
      </c>
      <c r="S76" s="108">
        <f t="shared" si="16"/>
        <v>51.96850393700787</v>
      </c>
      <c r="T76" s="47"/>
      <c r="U76" s="67"/>
      <c r="V76" s="66"/>
      <c r="W76" s="47"/>
      <c r="X76" s="65"/>
      <c r="Y76" s="64"/>
      <c r="Z76" s="64"/>
      <c r="AA76" s="64"/>
      <c r="AB76" s="64"/>
      <c r="AC76" s="64"/>
      <c r="AD76" s="64"/>
      <c r="AE76" s="64"/>
      <c r="AF76" s="64"/>
      <c r="AG76" s="64"/>
      <c r="AH76" s="64"/>
      <c r="AI76" s="64"/>
      <c r="AJ76" s="64"/>
      <c r="AK76" s="64"/>
      <c r="AL76" s="64"/>
      <c r="AM76" s="63"/>
      <c r="AN76" s="62"/>
      <c r="AO76" s="60"/>
      <c r="AP76" s="61"/>
      <c r="AQ76" s="58"/>
      <c r="AR76" s="59"/>
      <c r="AS76" s="59"/>
      <c r="AT76" s="60"/>
      <c r="AU76" s="60"/>
      <c r="AV76" s="58"/>
      <c r="AW76" s="59"/>
      <c r="AX76" s="59"/>
      <c r="AY76" s="58"/>
      <c r="AZ76" s="58"/>
      <c r="BA76" s="59"/>
      <c r="BB76" s="59"/>
      <c r="BC76" s="58"/>
      <c r="BD76" s="57"/>
      <c r="BE76" s="56"/>
      <c r="BF76" s="55"/>
      <c r="BG76" s="54"/>
      <c r="BH76" s="53"/>
      <c r="BI76" s="52"/>
      <c r="BJ76" s="32"/>
      <c r="BK76" s="32"/>
      <c r="BL76" s="32"/>
      <c r="BM76" s="32"/>
      <c r="BN76" s="32"/>
      <c r="BO76" s="32"/>
      <c r="BP76" s="32"/>
      <c r="BQ76" s="32"/>
      <c r="BR76" s="32"/>
      <c r="BS76" s="32"/>
      <c r="BT76" s="32"/>
      <c r="BU76" s="32"/>
      <c r="BV76" s="32"/>
      <c r="BW76" s="32"/>
      <c r="BX76" s="32"/>
      <c r="BY76" s="32"/>
      <c r="BZ76" s="32"/>
      <c r="CA76" s="32"/>
      <c r="CB76" s="32"/>
      <c r="CC76" s="32"/>
      <c r="CD76" s="32"/>
      <c r="CE76" s="32"/>
      <c r="CF76" s="32"/>
      <c r="CG76" s="32"/>
      <c r="CH76" s="32"/>
      <c r="CI76" s="32"/>
      <c r="CJ76" s="32"/>
      <c r="CK76" s="32"/>
      <c r="CL76" s="32"/>
      <c r="CM76" s="32"/>
      <c r="CN76" s="32"/>
      <c r="CO76" s="32"/>
      <c r="CP76" s="32"/>
      <c r="CQ76" s="32"/>
      <c r="CR76" s="32"/>
      <c r="CS76" s="32"/>
      <c r="CT76" s="32"/>
      <c r="CU76" s="32"/>
      <c r="CV76" s="32"/>
      <c r="CW76" s="32"/>
      <c r="CX76" s="32"/>
      <c r="CY76" s="32"/>
      <c r="CZ76" s="32"/>
      <c r="DA76" s="32"/>
      <c r="DB76" s="32"/>
      <c r="DC76" s="32"/>
      <c r="DD76" s="32"/>
      <c r="DE76" s="32"/>
      <c r="DF76" s="32"/>
      <c r="DG76" s="32"/>
      <c r="DH76" s="32"/>
      <c r="DI76" s="32"/>
      <c r="DJ76" s="32"/>
      <c r="DK76" s="32"/>
      <c r="DL76" s="32"/>
      <c r="DM76" s="32"/>
      <c r="DN76" s="32"/>
      <c r="DO76" s="32"/>
      <c r="DP76" s="32"/>
      <c r="DQ76" s="32"/>
      <c r="DR76" s="32"/>
      <c r="DS76" s="32"/>
      <c r="DT76" s="32"/>
      <c r="DU76" s="32"/>
      <c r="DV76" s="32"/>
      <c r="DW76" s="32"/>
      <c r="DX76" s="32"/>
      <c r="DY76" s="32"/>
      <c r="DZ76" s="32"/>
      <c r="EA76" s="32"/>
      <c r="EB76" s="32"/>
      <c r="EC76" s="32"/>
      <c r="ED76" s="32"/>
      <c r="EE76" s="32"/>
      <c r="EF76" s="32"/>
      <c r="EG76" s="32"/>
      <c r="EH76" s="32"/>
      <c r="EI76" s="32"/>
      <c r="EJ76" s="32"/>
      <c r="EK76" s="32"/>
      <c r="EL76" s="32"/>
      <c r="EM76" s="32"/>
      <c r="EN76" s="32"/>
      <c r="EO76" s="32"/>
      <c r="EP76" s="32"/>
      <c r="EQ76" s="32"/>
      <c r="ER76" s="32"/>
      <c r="ES76" s="32"/>
      <c r="ET76" s="32"/>
      <c r="EU76" s="32"/>
      <c r="EV76" s="32"/>
      <c r="EW76" s="32"/>
      <c r="EX76" s="32"/>
      <c r="EY76" s="32"/>
      <c r="EZ76" s="32"/>
      <c r="FA76" s="32"/>
      <c r="FB76" s="32"/>
      <c r="FC76" s="32"/>
      <c r="FD76" s="32"/>
      <c r="FE76" s="32"/>
      <c r="FF76" s="32"/>
      <c r="FG76" s="32"/>
      <c r="FH76" s="32"/>
      <c r="FI76" s="32"/>
      <c r="FJ76" s="32"/>
      <c r="FK76" s="32"/>
      <c r="FL76" s="32"/>
      <c r="FM76" s="32"/>
      <c r="FN76" s="32"/>
      <c r="FO76" s="32"/>
      <c r="FP76" s="32"/>
      <c r="FQ76" s="32"/>
      <c r="FR76" s="32"/>
      <c r="FS76" s="32"/>
      <c r="FT76" s="32"/>
      <c r="FU76" s="32"/>
      <c r="FV76" s="32"/>
      <c r="FW76" s="32"/>
      <c r="FX76" s="32"/>
      <c r="FY76" s="32"/>
      <c r="FZ76" s="32"/>
      <c r="GA76" s="32"/>
      <c r="GB76" s="51"/>
    </row>
    <row r="77" spans="1:58" s="28" customFormat="1" ht="16.5">
      <c r="A77" s="40"/>
      <c r="B77" s="40"/>
      <c r="C77" s="40"/>
      <c r="D77" s="40"/>
      <c r="E77" s="40"/>
      <c r="F77" s="42"/>
      <c r="G77" s="42"/>
      <c r="H77" s="42"/>
      <c r="I77" s="42"/>
      <c r="J77" s="42"/>
      <c r="K77" s="42"/>
      <c r="L77" s="42"/>
      <c r="M77" s="42"/>
      <c r="N77" s="205" t="s">
        <v>237</v>
      </c>
      <c r="O77" s="206"/>
      <c r="P77" s="206"/>
      <c r="Q77" s="206"/>
      <c r="R77" s="206"/>
      <c r="S77" s="206"/>
      <c r="T77" s="50"/>
      <c r="U77" s="49"/>
      <c r="V77" s="49"/>
      <c r="W77" s="47"/>
      <c r="X77" s="49"/>
      <c r="Y77" s="49"/>
      <c r="Z77" s="49"/>
      <c r="AA77" s="49"/>
      <c r="AB77" s="49"/>
      <c r="AC77" s="49"/>
      <c r="AD77" s="49"/>
      <c r="AE77" s="49"/>
      <c r="AF77" s="49"/>
      <c r="AG77" s="49"/>
      <c r="AH77" s="49"/>
      <c r="AI77" s="49"/>
      <c r="AJ77" s="49"/>
      <c r="AK77" s="49"/>
      <c r="AL77" s="49"/>
      <c r="AM77" s="40"/>
      <c r="AN77" s="40"/>
      <c r="AO77" s="40"/>
      <c r="AP77" s="40"/>
      <c r="AQ77" s="40"/>
      <c r="AR77" s="42"/>
      <c r="AS77" s="42"/>
      <c r="AT77" s="42"/>
      <c r="AU77" s="42"/>
      <c r="AV77" s="42"/>
      <c r="AW77" s="42"/>
      <c r="AX77" s="42"/>
      <c r="AY77" s="42"/>
      <c r="AZ77" s="42"/>
      <c r="BA77" s="205"/>
      <c r="BB77" s="206"/>
      <c r="BC77" s="206"/>
      <c r="BD77" s="206"/>
      <c r="BE77" s="206"/>
      <c r="BF77" s="206"/>
    </row>
    <row r="78" spans="1:58" s="37" customFormat="1" ht="19.5" customHeight="1">
      <c r="A78" s="35"/>
      <c r="B78" s="155"/>
      <c r="C78" s="155"/>
      <c r="D78" s="155"/>
      <c r="E78" s="155"/>
      <c r="F78" s="123"/>
      <c r="G78" s="123"/>
      <c r="H78" s="123"/>
      <c r="I78" s="123"/>
      <c r="J78" s="123"/>
      <c r="K78" s="123"/>
      <c r="L78" s="123"/>
      <c r="M78" s="123"/>
      <c r="N78" s="156" t="s">
        <v>101</v>
      </c>
      <c r="O78" s="156"/>
      <c r="P78" s="156"/>
      <c r="Q78" s="156"/>
      <c r="R78" s="156"/>
      <c r="S78" s="156"/>
      <c r="T78" s="44"/>
      <c r="U78" s="44"/>
      <c r="V78" s="44"/>
      <c r="W78" s="47"/>
      <c r="X78" s="44"/>
      <c r="Y78" s="44"/>
      <c r="Z78" s="44"/>
      <c r="AA78" s="44"/>
      <c r="AB78" s="44"/>
      <c r="AC78" s="44"/>
      <c r="AD78" s="44"/>
      <c r="AE78" s="44"/>
      <c r="AF78" s="44"/>
      <c r="AG78" s="44"/>
      <c r="AH78" s="44"/>
      <c r="AI78" s="44"/>
      <c r="AJ78" s="44"/>
      <c r="AK78" s="44"/>
      <c r="AL78" s="44"/>
      <c r="AM78" s="35"/>
      <c r="AN78" s="155"/>
      <c r="AO78" s="155"/>
      <c r="AP78" s="155"/>
      <c r="AQ78" s="155"/>
      <c r="AR78" s="43"/>
      <c r="AS78" s="43"/>
      <c r="AT78" s="43"/>
      <c r="AU78" s="43"/>
      <c r="AV78" s="43"/>
      <c r="AW78" s="43"/>
      <c r="AX78" s="43"/>
      <c r="AY78" s="43"/>
      <c r="AZ78" s="43"/>
      <c r="BA78" s="156"/>
      <c r="BB78" s="156"/>
      <c r="BC78" s="156"/>
      <c r="BD78" s="156"/>
      <c r="BE78" s="156"/>
      <c r="BF78" s="156"/>
    </row>
    <row r="79" spans="2:58" ht="16.5">
      <c r="B79" s="155" t="s">
        <v>3</v>
      </c>
      <c r="C79" s="155"/>
      <c r="D79" s="155"/>
      <c r="E79" s="155"/>
      <c r="F79" s="34"/>
      <c r="G79" s="34"/>
      <c r="H79" s="34"/>
      <c r="I79" s="34"/>
      <c r="J79" s="34"/>
      <c r="K79" s="34"/>
      <c r="L79" s="34"/>
      <c r="M79" s="34"/>
      <c r="N79" s="156" t="s">
        <v>100</v>
      </c>
      <c r="O79" s="156"/>
      <c r="P79" s="156"/>
      <c r="Q79" s="156"/>
      <c r="R79" s="156"/>
      <c r="S79" s="156"/>
      <c r="T79" s="44"/>
      <c r="U79" s="44"/>
      <c r="V79" s="44"/>
      <c r="W79" s="47"/>
      <c r="X79" s="44"/>
      <c r="Y79" s="44"/>
      <c r="Z79" s="44"/>
      <c r="AA79" s="44"/>
      <c r="AB79" s="44"/>
      <c r="AC79" s="44"/>
      <c r="AD79" s="44"/>
      <c r="AE79" s="44"/>
      <c r="AF79" s="44"/>
      <c r="AG79" s="44"/>
      <c r="AH79" s="44"/>
      <c r="AI79" s="44"/>
      <c r="AJ79" s="44"/>
      <c r="AK79" s="44"/>
      <c r="AL79" s="44"/>
      <c r="AM79" s="32"/>
      <c r="AN79" s="155"/>
      <c r="AO79" s="155"/>
      <c r="AP79" s="155"/>
      <c r="AQ79" s="155"/>
      <c r="AR79" s="36"/>
      <c r="AS79" s="36"/>
      <c r="AT79" s="36"/>
      <c r="AU79" s="36"/>
      <c r="AV79" s="36"/>
      <c r="AW79" s="36"/>
      <c r="AX79" s="36"/>
      <c r="AY79" s="36"/>
      <c r="AZ79" s="36"/>
      <c r="BA79" s="156"/>
      <c r="BB79" s="156"/>
      <c r="BC79" s="156"/>
      <c r="BD79" s="156"/>
      <c r="BE79" s="156"/>
      <c r="BF79" s="156"/>
    </row>
    <row r="80" spans="4:58" ht="15.75">
      <c r="D80" s="34"/>
      <c r="E80" s="34"/>
      <c r="F80" s="34"/>
      <c r="G80" s="34"/>
      <c r="H80" s="34"/>
      <c r="I80" s="34"/>
      <c r="J80" s="34"/>
      <c r="K80" s="34"/>
      <c r="L80" s="34"/>
      <c r="M80" s="34"/>
      <c r="N80" s="34"/>
      <c r="O80" s="34"/>
      <c r="P80" s="34"/>
      <c r="Q80" s="34"/>
      <c r="W80" s="47"/>
      <c r="AM80" s="32"/>
      <c r="AN80" s="32"/>
      <c r="AO80" s="32"/>
      <c r="AP80" s="36"/>
      <c r="AQ80" s="36"/>
      <c r="AR80" s="36"/>
      <c r="AS80" s="36"/>
      <c r="AT80" s="36"/>
      <c r="AU80" s="36"/>
      <c r="AV80" s="36"/>
      <c r="AW80" s="36"/>
      <c r="AX80" s="36"/>
      <c r="AY80" s="36"/>
      <c r="AZ80" s="36"/>
      <c r="BA80" s="36"/>
      <c r="BB80" s="36"/>
      <c r="BC80" s="36"/>
      <c r="BD80" s="36"/>
      <c r="BE80" s="32"/>
      <c r="BF80" s="32"/>
    </row>
    <row r="81" spans="4:58" ht="15.75">
      <c r="D81" s="34"/>
      <c r="E81" s="34"/>
      <c r="F81" s="34"/>
      <c r="G81" s="34"/>
      <c r="H81" s="34"/>
      <c r="I81" s="34"/>
      <c r="J81" s="34"/>
      <c r="K81" s="34"/>
      <c r="L81" s="34"/>
      <c r="M81" s="34"/>
      <c r="N81" s="34"/>
      <c r="O81" s="34"/>
      <c r="P81" s="34"/>
      <c r="Q81" s="34"/>
      <c r="W81" s="47"/>
      <c r="AM81" s="32"/>
      <c r="AN81" s="32"/>
      <c r="AO81" s="32"/>
      <c r="AP81" s="36"/>
      <c r="AQ81" s="36"/>
      <c r="AR81" s="36"/>
      <c r="AS81" s="36"/>
      <c r="AT81" s="36"/>
      <c r="AU81" s="36"/>
      <c r="AV81" s="36"/>
      <c r="AW81" s="36"/>
      <c r="AX81" s="36"/>
      <c r="AY81" s="36"/>
      <c r="AZ81" s="36"/>
      <c r="BA81" s="36"/>
      <c r="BB81" s="36"/>
      <c r="BC81" s="36"/>
      <c r="BD81" s="36"/>
      <c r="BE81" s="32"/>
      <c r="BF81" s="32"/>
    </row>
    <row r="82" spans="1:58" ht="15.75" hidden="1">
      <c r="A82" s="29" t="s">
        <v>23</v>
      </c>
      <c r="D82" s="34"/>
      <c r="E82" s="34"/>
      <c r="F82" s="34"/>
      <c r="G82" s="34"/>
      <c r="H82" s="34"/>
      <c r="I82" s="34"/>
      <c r="J82" s="34"/>
      <c r="K82" s="34"/>
      <c r="L82" s="34"/>
      <c r="M82" s="34"/>
      <c r="N82" s="34"/>
      <c r="O82" s="34"/>
      <c r="P82" s="34"/>
      <c r="Q82" s="34"/>
      <c r="W82" s="47"/>
      <c r="AM82" s="27"/>
      <c r="AN82" s="32"/>
      <c r="AO82" s="32"/>
      <c r="AP82" s="36"/>
      <c r="AQ82" s="36"/>
      <c r="AR82" s="36"/>
      <c r="AS82" s="36"/>
      <c r="AT82" s="36"/>
      <c r="AU82" s="36"/>
      <c r="AV82" s="36"/>
      <c r="AW82" s="36"/>
      <c r="AX82" s="36"/>
      <c r="AY82" s="36"/>
      <c r="AZ82" s="36"/>
      <c r="BA82" s="36"/>
      <c r="BB82" s="36"/>
      <c r="BC82" s="36"/>
      <c r="BD82" s="36"/>
      <c r="BE82" s="32"/>
      <c r="BF82" s="32"/>
    </row>
    <row r="83" spans="2:58" ht="15.75" hidden="1">
      <c r="B83" s="158"/>
      <c r="C83" s="158"/>
      <c r="D83" s="158"/>
      <c r="E83" s="158"/>
      <c r="F83" s="158"/>
      <c r="G83" s="158"/>
      <c r="H83" s="158"/>
      <c r="I83" s="158"/>
      <c r="J83" s="158"/>
      <c r="K83" s="158"/>
      <c r="L83" s="158"/>
      <c r="M83" s="158"/>
      <c r="N83" s="158"/>
      <c r="O83" s="158"/>
      <c r="P83" s="34"/>
      <c r="Q83" s="34"/>
      <c r="W83" s="47"/>
      <c r="AM83" s="32"/>
      <c r="AN83" s="198"/>
      <c r="AO83" s="198"/>
      <c r="AP83" s="198"/>
      <c r="AQ83" s="198"/>
      <c r="AR83" s="198"/>
      <c r="AS83" s="198"/>
      <c r="AT83" s="198"/>
      <c r="AU83" s="198"/>
      <c r="AV83" s="198"/>
      <c r="AW83" s="198"/>
      <c r="AX83" s="198"/>
      <c r="AY83" s="198"/>
      <c r="AZ83" s="198"/>
      <c r="BA83" s="198"/>
      <c r="BB83" s="198"/>
      <c r="BC83" s="36"/>
      <c r="BD83" s="36"/>
      <c r="BE83" s="32"/>
      <c r="BF83" s="32"/>
    </row>
    <row r="84" spans="2:58" ht="15.75" hidden="1">
      <c r="B84" s="158"/>
      <c r="C84" s="158"/>
      <c r="D84" s="158"/>
      <c r="E84" s="158"/>
      <c r="F84" s="158"/>
      <c r="G84" s="158"/>
      <c r="H84" s="158"/>
      <c r="I84" s="158"/>
      <c r="J84" s="158"/>
      <c r="K84" s="158"/>
      <c r="L84" s="158"/>
      <c r="M84" s="158"/>
      <c r="N84" s="158"/>
      <c r="O84" s="158"/>
      <c r="P84" s="34"/>
      <c r="Q84" s="34"/>
      <c r="W84" s="47"/>
      <c r="AM84" s="32"/>
      <c r="AN84" s="198"/>
      <c r="AO84" s="198"/>
      <c r="AP84" s="198"/>
      <c r="AQ84" s="198"/>
      <c r="AR84" s="198"/>
      <c r="AS84" s="198"/>
      <c r="AT84" s="198"/>
      <c r="AU84" s="198"/>
      <c r="AV84" s="198"/>
      <c r="AW84" s="198"/>
      <c r="AX84" s="198"/>
      <c r="AY84" s="198"/>
      <c r="AZ84" s="198"/>
      <c r="BA84" s="198"/>
      <c r="BB84" s="198"/>
      <c r="BC84" s="36"/>
      <c r="BD84" s="36"/>
      <c r="BE84" s="32"/>
      <c r="BF84" s="32"/>
    </row>
    <row r="85" spans="2:58" ht="15.75" hidden="1">
      <c r="B85" s="158"/>
      <c r="C85" s="158"/>
      <c r="D85" s="158"/>
      <c r="E85" s="158"/>
      <c r="F85" s="158"/>
      <c r="G85" s="158"/>
      <c r="H85" s="158"/>
      <c r="I85" s="158"/>
      <c r="J85" s="158"/>
      <c r="K85" s="158"/>
      <c r="L85" s="158"/>
      <c r="M85" s="158"/>
      <c r="N85" s="158"/>
      <c r="O85" s="158"/>
      <c r="P85" s="34"/>
      <c r="Q85" s="34"/>
      <c r="W85" s="47"/>
      <c r="AM85" s="32"/>
      <c r="AN85" s="198"/>
      <c r="AO85" s="198"/>
      <c r="AP85" s="198"/>
      <c r="AQ85" s="198"/>
      <c r="AR85" s="198"/>
      <c r="AS85" s="198"/>
      <c r="AT85" s="198"/>
      <c r="AU85" s="198"/>
      <c r="AV85" s="198"/>
      <c r="AW85" s="198"/>
      <c r="AX85" s="198"/>
      <c r="AY85" s="198"/>
      <c r="AZ85" s="198"/>
      <c r="BA85" s="198"/>
      <c r="BB85" s="198"/>
      <c r="BC85" s="36"/>
      <c r="BD85" s="36"/>
      <c r="BE85" s="32"/>
      <c r="BF85" s="32"/>
    </row>
    <row r="86" spans="1:58" ht="15.75" customHeight="1" hidden="1">
      <c r="A86" s="39"/>
      <c r="B86" s="239"/>
      <c r="C86" s="239"/>
      <c r="D86" s="239"/>
      <c r="E86" s="239"/>
      <c r="F86" s="239"/>
      <c r="G86" s="239"/>
      <c r="H86" s="239"/>
      <c r="I86" s="239"/>
      <c r="J86" s="239"/>
      <c r="K86" s="239"/>
      <c r="L86" s="239"/>
      <c r="M86" s="239"/>
      <c r="N86" s="239"/>
      <c r="O86" s="239"/>
      <c r="P86" s="39"/>
      <c r="W86" s="47"/>
      <c r="AM86" s="48"/>
      <c r="AN86" s="196"/>
      <c r="AO86" s="196"/>
      <c r="AP86" s="196"/>
      <c r="AQ86" s="196"/>
      <c r="AR86" s="196"/>
      <c r="AS86" s="196"/>
      <c r="AT86" s="196"/>
      <c r="AU86" s="196"/>
      <c r="AV86" s="196"/>
      <c r="AW86" s="196"/>
      <c r="AX86" s="196"/>
      <c r="AY86" s="196"/>
      <c r="AZ86" s="196"/>
      <c r="BA86" s="196"/>
      <c r="BB86" s="196"/>
      <c r="BC86" s="48"/>
      <c r="BD86" s="32"/>
      <c r="BE86" s="32"/>
      <c r="BF86" s="32"/>
    </row>
    <row r="87" spans="1:58" ht="15.75" customHeight="1">
      <c r="A87" s="39"/>
      <c r="B87" s="39"/>
      <c r="C87" s="92"/>
      <c r="D87" s="92"/>
      <c r="E87" s="92"/>
      <c r="F87" s="92"/>
      <c r="G87" s="92"/>
      <c r="H87" s="92"/>
      <c r="I87" s="92"/>
      <c r="J87" s="92"/>
      <c r="K87" s="92"/>
      <c r="L87" s="92"/>
      <c r="M87" s="92"/>
      <c r="N87" s="92"/>
      <c r="O87" s="92"/>
      <c r="P87" s="92"/>
      <c r="Q87" s="92"/>
      <c r="R87" s="91"/>
      <c r="S87" s="91"/>
      <c r="W87" s="47"/>
      <c r="AM87" s="48"/>
      <c r="AN87" s="48"/>
      <c r="AO87" s="48"/>
      <c r="AP87" s="48"/>
      <c r="AQ87" s="48"/>
      <c r="AR87" s="48"/>
      <c r="AS87" s="48"/>
      <c r="AT87" s="48"/>
      <c r="AU87" s="48"/>
      <c r="AV87" s="48"/>
      <c r="AW87" s="48"/>
      <c r="AX87" s="48"/>
      <c r="AY87" s="48"/>
      <c r="AZ87" s="48"/>
      <c r="BA87" s="48"/>
      <c r="BB87" s="48"/>
      <c r="BC87" s="48"/>
      <c r="BD87" s="32"/>
      <c r="BE87" s="32"/>
      <c r="BF87" s="32"/>
    </row>
    <row r="88" spans="1:58" ht="15.75">
      <c r="A88" s="39"/>
      <c r="B88" s="39"/>
      <c r="C88" s="93"/>
      <c r="D88" s="93"/>
      <c r="E88" s="93"/>
      <c r="F88" s="93"/>
      <c r="G88" s="93"/>
      <c r="H88" s="93"/>
      <c r="I88" s="93"/>
      <c r="J88" s="93"/>
      <c r="K88" s="93"/>
      <c r="L88" s="93"/>
      <c r="M88" s="93"/>
      <c r="N88" s="93"/>
      <c r="O88" s="93"/>
      <c r="P88" s="93"/>
      <c r="Q88" s="93"/>
      <c r="W88" s="47"/>
      <c r="AM88" s="48"/>
      <c r="AN88" s="48"/>
      <c r="AO88" s="48"/>
      <c r="AP88" s="48"/>
      <c r="AQ88" s="48"/>
      <c r="AR88" s="48"/>
      <c r="AS88" s="48"/>
      <c r="AT88" s="48"/>
      <c r="AU88" s="48"/>
      <c r="AV88" s="48"/>
      <c r="AW88" s="48"/>
      <c r="AX88" s="48"/>
      <c r="AY88" s="48"/>
      <c r="AZ88" s="48"/>
      <c r="BA88" s="48"/>
      <c r="BB88" s="48"/>
      <c r="BC88" s="48"/>
      <c r="BD88" s="32"/>
      <c r="BE88" s="32"/>
      <c r="BF88" s="32"/>
    </row>
    <row r="89" spans="2:58" ht="15.75">
      <c r="B89" s="154" t="s">
        <v>99</v>
      </c>
      <c r="C89" s="154"/>
      <c r="D89" s="154"/>
      <c r="E89" s="154"/>
      <c r="N89" s="154" t="s">
        <v>98</v>
      </c>
      <c r="O89" s="154"/>
      <c r="P89" s="154"/>
      <c r="Q89" s="154"/>
      <c r="R89" s="154"/>
      <c r="S89" s="154"/>
      <c r="T89" s="46"/>
      <c r="U89" s="46"/>
      <c r="V89" s="46"/>
      <c r="W89" s="47"/>
      <c r="X89" s="46"/>
      <c r="Y89" s="46"/>
      <c r="Z89" s="46"/>
      <c r="AA89" s="46"/>
      <c r="AB89" s="46"/>
      <c r="AC89" s="46"/>
      <c r="AD89" s="46"/>
      <c r="AE89" s="46"/>
      <c r="AF89" s="46"/>
      <c r="AG89" s="46"/>
      <c r="AH89" s="46"/>
      <c r="AI89" s="46"/>
      <c r="AJ89" s="46"/>
      <c r="AK89" s="46"/>
      <c r="AL89" s="46"/>
      <c r="AM89" s="32"/>
      <c r="AN89" s="197"/>
      <c r="AO89" s="197"/>
      <c r="AP89" s="197"/>
      <c r="AQ89" s="197"/>
      <c r="AR89" s="32"/>
      <c r="AS89" s="32"/>
      <c r="AT89" s="32"/>
      <c r="AU89" s="32"/>
      <c r="AV89" s="32"/>
      <c r="AW89" s="32"/>
      <c r="AX89" s="32"/>
      <c r="AY89" s="32"/>
      <c r="AZ89" s="32"/>
      <c r="BA89" s="197"/>
      <c r="BB89" s="197"/>
      <c r="BC89" s="197"/>
      <c r="BD89" s="197"/>
      <c r="BE89" s="197"/>
      <c r="BF89" s="197"/>
    </row>
  </sheetData>
  <sheetProtection/>
  <mergeCells count="101">
    <mergeCell ref="P1:S1"/>
    <mergeCell ref="P3:S3"/>
    <mergeCell ref="N89:S89"/>
    <mergeCell ref="P5:S5"/>
    <mergeCell ref="E1:O1"/>
    <mergeCell ref="E2:O2"/>
    <mergeCell ref="E3:O3"/>
    <mergeCell ref="C6:E6"/>
    <mergeCell ref="P9:P10"/>
    <mergeCell ref="O9:O10"/>
    <mergeCell ref="B89:E89"/>
    <mergeCell ref="N78:S78"/>
    <mergeCell ref="J9:J10"/>
    <mergeCell ref="S6:S10"/>
    <mergeCell ref="D7:E8"/>
    <mergeCell ref="B86:O86"/>
    <mergeCell ref="G6:G10"/>
    <mergeCell ref="I8:I10"/>
    <mergeCell ref="H6:Q6"/>
    <mergeCell ref="I7:P7"/>
    <mergeCell ref="K9:K10"/>
    <mergeCell ref="A11:B11"/>
    <mergeCell ref="C7:C10"/>
    <mergeCell ref="L9:L10"/>
    <mergeCell ref="A3:D3"/>
    <mergeCell ref="B84:O84"/>
    <mergeCell ref="B85:O85"/>
    <mergeCell ref="N79:S79"/>
    <mergeCell ref="B83:O83"/>
    <mergeCell ref="A12:B12"/>
    <mergeCell ref="B79:E79"/>
    <mergeCell ref="B78:E78"/>
    <mergeCell ref="N77:S77"/>
    <mergeCell ref="BC4:BF4"/>
    <mergeCell ref="P4:S4"/>
    <mergeCell ref="M9:M10"/>
    <mergeCell ref="E9:E10"/>
    <mergeCell ref="R6:R10"/>
    <mergeCell ref="A6:B10"/>
    <mergeCell ref="H7:H10"/>
    <mergeCell ref="D9:D10"/>
    <mergeCell ref="F6:F10"/>
    <mergeCell ref="J8:P8"/>
    <mergeCell ref="AQ1:BB1"/>
    <mergeCell ref="BC1:BF1"/>
    <mergeCell ref="AM2:AP2"/>
    <mergeCell ref="AQ2:BB2"/>
    <mergeCell ref="BC2:BF2"/>
    <mergeCell ref="AM3:AP3"/>
    <mergeCell ref="AQ3:BB3"/>
    <mergeCell ref="BC3:BF3"/>
    <mergeCell ref="AP7:AQ8"/>
    <mergeCell ref="A2:D2"/>
    <mergeCell ref="AO7:AO10"/>
    <mergeCell ref="P2:S2"/>
    <mergeCell ref="BC9:BC10"/>
    <mergeCell ref="N9:N10"/>
    <mergeCell ref="Q7:Q10"/>
    <mergeCell ref="AS6:AS10"/>
    <mergeCell ref="V6:V10"/>
    <mergeCell ref="AT6:BD6"/>
    <mergeCell ref="BC5:BF5"/>
    <mergeCell ref="AZ9:AZ10"/>
    <mergeCell ref="BA9:BA10"/>
    <mergeCell ref="BB9:BB10"/>
    <mergeCell ref="BF6:BF10"/>
    <mergeCell ref="BE6:BE10"/>
    <mergeCell ref="AV8:BC8"/>
    <mergeCell ref="AU7:BC7"/>
    <mergeCell ref="BD7:BD10"/>
    <mergeCell ref="AV9:AV10"/>
    <mergeCell ref="AW9:AW10"/>
    <mergeCell ref="AY9:AY10"/>
    <mergeCell ref="AM11:AN11"/>
    <mergeCell ref="AX9:AX10"/>
    <mergeCell ref="AP9:AP10"/>
    <mergeCell ref="AQ9:AQ10"/>
    <mergeCell ref="AM6:AN10"/>
    <mergeCell ref="AO6:AQ6"/>
    <mergeCell ref="AR6:AR10"/>
    <mergeCell ref="AU8:AU10"/>
    <mergeCell ref="U6:U10"/>
    <mergeCell ref="W6:W10"/>
    <mergeCell ref="U11:W11"/>
    <mergeCell ref="AN79:AQ79"/>
    <mergeCell ref="BA79:BF79"/>
    <mergeCell ref="AN83:BB83"/>
    <mergeCell ref="AT7:AT10"/>
    <mergeCell ref="AM12:AN12"/>
    <mergeCell ref="BA77:BF77"/>
    <mergeCell ref="AN78:AQ78"/>
    <mergeCell ref="BH6:BH10"/>
    <mergeCell ref="AK6:AK10"/>
    <mergeCell ref="AL6:AL10"/>
    <mergeCell ref="AN86:BB86"/>
    <mergeCell ref="AN89:AQ89"/>
    <mergeCell ref="BA89:BF89"/>
    <mergeCell ref="BG6:BG10"/>
    <mergeCell ref="AN84:BB84"/>
    <mergeCell ref="AN85:BB85"/>
    <mergeCell ref="BA78:BF78"/>
  </mergeCells>
  <printOptions/>
  <pageMargins left="0.25" right="0" top="0" bottom="0" header="0.511811023622047" footer="0.27559055118110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NP-COMPUTER</cp:lastModifiedBy>
  <cp:lastPrinted>2016-02-01T03:06:51Z</cp:lastPrinted>
  <dcterms:created xsi:type="dcterms:W3CDTF">2004-03-07T02:36:29Z</dcterms:created>
  <dcterms:modified xsi:type="dcterms:W3CDTF">2016-02-01T03:08:36Z</dcterms:modified>
  <cp:category/>
  <cp:version/>
  <cp:contentType/>
  <cp:contentStatus/>
</cp:coreProperties>
</file>